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drawings/drawing4.xml" ContentType="application/vnd.openxmlformats-officedocument.drawing+xml"/>
  <Override PartName="/xl/ctrlProps/ctrlProp2.xml" ContentType="application/vnd.ms-excel.controlproperties+xml"/>
  <Override PartName="/xl/drawings/drawing5.xml" ContentType="application/vnd.openxmlformats-officedocument.drawing+xml"/>
  <Override PartName="/xl/ctrlProps/ctrlProp3.xml" ContentType="application/vnd.ms-excel.controlproperties+xml"/>
  <Override PartName="/xl/drawings/drawing6.xml" ContentType="application/vnd.openxmlformats-officedocument.drawing+xml"/>
  <Override PartName="/xl/ctrlProps/ctrlProp4.xml" ContentType="application/vnd.ms-excel.controlproperties+xml"/>
  <Override PartName="/xl/drawings/drawing7.xml" ContentType="application/vnd.openxmlformats-officedocument.drawing+xml"/>
  <Override PartName="/xl/ctrlProps/ctrlProp5.xml" ContentType="application/vnd.ms-excel.controlproperties+xml"/>
  <Override PartName="/xl/drawings/drawing8.xml" ContentType="application/vnd.openxmlformats-officedocument.drawing+xml"/>
  <Override PartName="/xl/ctrlProps/ctrlProp6.xml" ContentType="application/vnd.ms-excel.controlproperties+xml"/>
  <Override PartName="/xl/drawings/drawing9.xml" ContentType="application/vnd.openxmlformats-officedocument.drawing+xml"/>
  <Override PartName="/xl/ctrlProps/ctrlProp7.xml" ContentType="application/vnd.ms-excel.controlproperties+xml"/>
  <Override PartName="/xl/drawings/drawing10.xml" ContentType="application/vnd.openxmlformats-officedocument.drawing+xml"/>
  <Override PartName="/xl/ctrlProps/ctrlProp8.xml" ContentType="application/vnd.ms-excel.controlproperties+xml"/>
  <Override PartName="/xl/drawings/drawing11.xml" ContentType="application/vnd.openxmlformats-officedocument.drawing+xml"/>
  <Override PartName="/xl/ctrlProps/ctrlProp9.xml" ContentType="application/vnd.ms-excel.controlproperties+xml"/>
  <Override PartName="/xl/drawings/drawing12.xml" ContentType="application/vnd.openxmlformats-officedocument.drawing+xml"/>
  <Override PartName="/xl/ctrlProps/ctrlProp10.xml" ContentType="application/vnd.ms-excel.controlproperties+xml"/>
  <Override PartName="/xl/drawings/drawing13.xml" ContentType="application/vnd.openxmlformats-officedocument.drawing+xml"/>
  <Override PartName="/xl/ctrlProps/ctrlProp11.xml" ContentType="application/vnd.ms-excel.controlproperties+xml"/>
  <Override PartName="/xl/drawings/drawing14.xml" ContentType="application/vnd.openxmlformats-officedocument.drawing+xml"/>
  <Override PartName="/xl/ctrlProps/ctrlProp12.xml" ContentType="application/vnd.ms-excel.controlproperties+xml"/>
  <Override PartName="/xl/drawings/drawing15.xml" ContentType="application/vnd.openxmlformats-officedocument.drawing+xml"/>
  <Override PartName="/xl/ctrlProps/ctrlProp13.xml" ContentType="application/vnd.ms-excel.controlproperties+xml"/>
  <Override PartName="/xl/drawings/drawing16.xml" ContentType="application/vnd.openxmlformats-officedocument.drawing+xml"/>
  <Override PartName="/xl/ctrlProps/ctrlProp14.xml" ContentType="application/vnd.ms-excel.controlproperties+xml"/>
  <Override PartName="/xl/drawings/drawing17.xml" ContentType="application/vnd.openxmlformats-officedocument.drawing+xml"/>
  <Override PartName="/xl/ctrlProps/ctrlProp15.xml" ContentType="application/vnd.ms-excel.controlproperties+xml"/>
  <Override PartName="/xl/drawings/drawing18.xml" ContentType="application/vnd.openxmlformats-officedocument.drawing+xml"/>
  <Override PartName="/xl/ctrlProps/ctrlProp16.xml" ContentType="application/vnd.ms-excel.controlproperties+xml"/>
  <Override PartName="/xl/drawings/drawing1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codeName="EstaPastaDeTrabalho" defaultThemeVersion="124226"/>
  <bookViews>
    <workbookView xWindow="-105" yWindow="-105" windowWidth="23250" windowHeight="12450" tabRatio="34" firstSheet="17" activeTab="17"/>
  </bookViews>
  <sheets>
    <sheet name="MENU" sheetId="7" r:id="rId1"/>
    <sheet name="ORIENTAÇÕES_GENERAL" sheetId="8" r:id="rId2"/>
    <sheet name="MATÉRIA-PRIMA_RAW MATERIAL" sheetId="10" r:id="rId3"/>
    <sheet name="MATERIA-PRIMA (OUTROS) " sheetId="11" r:id="rId4"/>
    <sheet name="QUIMICO" sheetId="26" r:id="rId5"/>
    <sheet name="EMBALAGEM PRIMÁRIA " sheetId="13" r:id="rId6"/>
    <sheet name="EMBALAGEM SEGUNDÁRIA" sheetId="14" r:id="rId7"/>
    <sheet name="PRODUTO DE LIMPEZA" sheetId="15" r:id="rId8"/>
    <sheet name="EPI" sheetId="16" r:id="rId9"/>
    <sheet name="DESCARTE DE RESÍDUO" sheetId="17" r:id="rId10"/>
    <sheet name="CALIBRAÇÃO_EQUIP" sheetId="18" r:id="rId11"/>
    <sheet name="MANUTENÇÃO" sheetId="19" r:id="rId12"/>
    <sheet name="TRANSPORTADORAS" sheetId="20" r:id="rId13"/>
    <sheet name="AUDITORES EXTERNOS" sheetId="21" r:id="rId14"/>
    <sheet name="LABORATÓRIO_LABORATORY" sheetId="22" r:id="rId15"/>
    <sheet name="DESPACHANTE" sheetId="23" r:id="rId16"/>
    <sheet name="ARMAZÉM TERCEIRO" sheetId="25" r:id="rId17"/>
    <sheet name="CONTROLE DE PRAGAS" sheetId="27" r:id="rId18"/>
    <sheet name="Planilha1" sheetId="29" r:id="rId19"/>
    <sheet name="GARANTIA DA QUALIDADE" sheetId="28" state="hidden" r:id="rId20"/>
    <sheet name="Lista Legislações" sheetId="6" state="hidden" r:id="rId21"/>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5" i="11" l="1"/>
  <c r="C111" i="10"/>
  <c r="S11" i="28"/>
  <c r="S9" i="28"/>
  <c r="H10" i="28"/>
  <c r="H7" i="28"/>
  <c r="H6" i="28"/>
  <c r="B16" i="11"/>
  <c r="B16" i="10"/>
  <c r="B17" i="10"/>
  <c r="B14" i="10"/>
  <c r="F30" i="22"/>
  <c r="C30" i="22"/>
  <c r="C29" i="22"/>
  <c r="F46" i="10"/>
  <c r="F42" i="11"/>
  <c r="F34" i="13"/>
  <c r="F28" i="14"/>
  <c r="F30" i="15"/>
  <c r="F28" i="23"/>
  <c r="F29" i="25"/>
  <c r="F32" i="27"/>
  <c r="F26" i="27"/>
  <c r="F27" i="22"/>
  <c r="F29" i="16"/>
  <c r="F28" i="16"/>
  <c r="F23" i="13"/>
  <c r="F22" i="13"/>
  <c r="F39" i="11"/>
  <c r="F36" i="11"/>
  <c r="F25" i="11"/>
  <c r="F24" i="11"/>
  <c r="F45" i="10"/>
  <c r="F43" i="10"/>
  <c r="F42" i="10"/>
  <c r="F40" i="10"/>
  <c r="F39" i="10"/>
  <c r="F37" i="10"/>
  <c r="F36" i="10"/>
  <c r="F35" i="10"/>
  <c r="F34" i="10"/>
  <c r="F33" i="10"/>
  <c r="F30" i="10"/>
  <c r="F29" i="10"/>
  <c r="F27" i="10"/>
  <c r="F26" i="10"/>
  <c r="F25" i="10"/>
  <c r="C83" i="10"/>
  <c r="B109" i="10"/>
  <c r="B10" i="19"/>
  <c r="B10" i="26"/>
  <c r="F44" i="10"/>
  <c r="F38" i="10"/>
  <c r="F32" i="10"/>
  <c r="F31" i="10"/>
  <c r="F41" i="10"/>
  <c r="F35" i="11"/>
  <c r="F34" i="11"/>
  <c r="F33" i="11"/>
  <c r="F32" i="11"/>
  <c r="C103" i="10"/>
  <c r="C97" i="10"/>
  <c r="C20" i="27"/>
  <c r="C19" i="25"/>
  <c r="C20" i="23"/>
  <c r="C20" i="22"/>
  <c r="C20" i="21"/>
  <c r="C20" i="20"/>
  <c r="C20" i="19"/>
  <c r="C20" i="18"/>
  <c r="C20" i="17"/>
  <c r="C20" i="16"/>
  <c r="C20" i="15"/>
  <c r="C20" i="14"/>
  <c r="C20" i="13"/>
  <c r="C20" i="26"/>
  <c r="Q14" i="28"/>
  <c r="D21" i="27"/>
  <c r="F31" i="27"/>
  <c r="F30" i="27"/>
  <c r="F29" i="27"/>
  <c r="F28" i="27"/>
  <c r="F27" i="27"/>
  <c r="F25" i="27"/>
  <c r="Q12" i="28"/>
  <c r="Q13" i="28"/>
  <c r="D20" i="25"/>
  <c r="D21" i="23"/>
  <c r="Q11" i="28"/>
  <c r="D21" i="22"/>
  <c r="Q10" i="28"/>
  <c r="D21" i="21"/>
  <c r="Q9" i="28"/>
  <c r="D21" i="20"/>
  <c r="C26" i="20"/>
  <c r="C25" i="20"/>
  <c r="C24" i="20"/>
  <c r="F26" i="20"/>
  <c r="F25" i="20"/>
  <c r="F24" i="20"/>
  <c r="Q8" i="28"/>
  <c r="D21" i="19"/>
  <c r="D21" i="18"/>
  <c r="D21" i="17"/>
  <c r="F12" i="28"/>
  <c r="D21" i="16"/>
  <c r="F11" i="28"/>
  <c r="D21" i="15"/>
  <c r="F10" i="28"/>
  <c r="D21" i="14"/>
  <c r="F9" i="28"/>
  <c r="D21" i="13"/>
  <c r="F8" i="28"/>
  <c r="D21" i="26"/>
  <c r="F7" i="28"/>
  <c r="F6" i="28"/>
  <c r="D23" i="11"/>
  <c r="C22" i="11"/>
  <c r="D24" i="10"/>
  <c r="C23" i="10"/>
  <c r="B38" i="27"/>
  <c r="B34" i="23"/>
  <c r="B29" i="21"/>
  <c r="B36" i="25"/>
  <c r="B33" i="19"/>
  <c r="B31" i="18"/>
  <c r="B39" i="22"/>
  <c r="B40" i="22"/>
  <c r="B34" i="20"/>
  <c r="B35" i="17"/>
  <c r="B39" i="26"/>
  <c r="B40" i="16"/>
  <c r="B37" i="15"/>
  <c r="B36" i="14"/>
  <c r="B40" i="13"/>
  <c r="B52" i="11"/>
  <c r="B58" i="10"/>
  <c r="C49" i="27"/>
  <c r="C80" i="27"/>
  <c r="C75" i="27"/>
  <c r="C74" i="27"/>
  <c r="C73" i="27"/>
  <c r="B71" i="27"/>
  <c r="C69" i="27"/>
  <c r="C68" i="27"/>
  <c r="H67" i="27"/>
  <c r="G67" i="27"/>
  <c r="F67" i="27"/>
  <c r="E67" i="27"/>
  <c r="D67" i="27"/>
  <c r="B67" i="27"/>
  <c r="B66" i="27"/>
  <c r="C50" i="27"/>
  <c r="C64" i="27"/>
  <c r="C63" i="27"/>
  <c r="C62" i="27"/>
  <c r="C61" i="27"/>
  <c r="H60" i="27"/>
  <c r="G60" i="27"/>
  <c r="F60" i="27"/>
  <c r="E60" i="27"/>
  <c r="D60" i="27"/>
  <c r="B60" i="27"/>
  <c r="B59" i="27"/>
  <c r="C57" i="27"/>
  <c r="C56" i="27"/>
  <c r="C55" i="27"/>
  <c r="C54" i="27"/>
  <c r="H53" i="27"/>
  <c r="G53" i="27"/>
  <c r="F53" i="27"/>
  <c r="E53" i="27"/>
  <c r="D53" i="27"/>
  <c r="B53" i="27"/>
  <c r="B52" i="27"/>
  <c r="C48" i="27"/>
  <c r="C47" i="27"/>
  <c r="C46" i="27"/>
  <c r="C45" i="27"/>
  <c r="C44" i="27"/>
  <c r="C43" i="27"/>
  <c r="C42" i="27"/>
  <c r="C41" i="27"/>
  <c r="B42" i="27"/>
  <c r="B43" i="27" s="1"/>
  <c r="B44" i="27" s="1"/>
  <c r="B45" i="27" s="1"/>
  <c r="B46" i="27" s="1"/>
  <c r="B47" i="27" s="1"/>
  <c r="B48" i="27" s="1"/>
  <c r="B49" i="27" s="1"/>
  <c r="B50" i="27" s="1"/>
  <c r="B54" i="27" s="1"/>
  <c r="B55" i="27" s="1"/>
  <c r="B56" i="27" s="1"/>
  <c r="B57" i="27" s="1"/>
  <c r="B61" i="27" s="1"/>
  <c r="B62" i="27" s="1"/>
  <c r="B63" i="27" s="1"/>
  <c r="B64" i="27" s="1"/>
  <c r="B68" i="27" s="1"/>
  <c r="B69" i="27" s="1"/>
  <c r="S14" i="28" s="1"/>
  <c r="H40" i="27"/>
  <c r="G40" i="27"/>
  <c r="F40" i="27"/>
  <c r="E40" i="27"/>
  <c r="D40" i="27"/>
  <c r="B40" i="27"/>
  <c r="B39" i="27"/>
  <c r="C32" i="27"/>
  <c r="C31" i="27"/>
  <c r="C30" i="27"/>
  <c r="C29" i="27"/>
  <c r="C28" i="27"/>
  <c r="C27" i="27"/>
  <c r="C26" i="27"/>
  <c r="C25" i="27"/>
  <c r="F24" i="27"/>
  <c r="C24" i="27"/>
  <c r="F23" i="27"/>
  <c r="C23" i="27"/>
  <c r="F22" i="27"/>
  <c r="C22" i="27"/>
  <c r="F21" i="27"/>
  <c r="C21" i="27"/>
  <c r="B15" i="27"/>
  <c r="B14" i="27"/>
  <c r="B13" i="27"/>
  <c r="B12" i="27"/>
  <c r="B11" i="27"/>
  <c r="B10" i="27"/>
  <c r="C56" i="26"/>
  <c r="C55" i="26"/>
  <c r="B43" i="26"/>
  <c r="B44" i="26" s="1"/>
  <c r="B45" i="26" s="1"/>
  <c r="B46" i="26" s="1"/>
  <c r="B47" i="26" s="1"/>
  <c r="B48" i="26" s="1"/>
  <c r="B49" i="26" s="1"/>
  <c r="B50" i="26" s="1"/>
  <c r="B51" i="26" s="1"/>
  <c r="B52" i="26" s="1"/>
  <c r="B53" i="26" s="1"/>
  <c r="B54" i="26" s="1"/>
  <c r="B55" i="26" s="1"/>
  <c r="B56" i="26" s="1"/>
  <c r="B57" i="26" s="1"/>
  <c r="B58" i="26" s="1"/>
  <c r="H8" i="28" s="1"/>
  <c r="C52" i="26"/>
  <c r="C51" i="26"/>
  <c r="C50" i="26"/>
  <c r="C49" i="26"/>
  <c r="C48" i="26"/>
  <c r="C47" i="26"/>
  <c r="C46" i="26"/>
  <c r="C45" i="26"/>
  <c r="C44" i="26"/>
  <c r="C43" i="26"/>
  <c r="C42" i="26"/>
  <c r="F33" i="26"/>
  <c r="C33" i="26"/>
  <c r="F32" i="26"/>
  <c r="C32" i="26"/>
  <c r="F31" i="26"/>
  <c r="F30" i="26"/>
  <c r="C31" i="26"/>
  <c r="C30" i="26"/>
  <c r="C28" i="26"/>
  <c r="F28" i="26"/>
  <c r="F27" i="26"/>
  <c r="C27" i="26"/>
  <c r="F26" i="26"/>
  <c r="C26" i="26"/>
  <c r="F25" i="26"/>
  <c r="C69" i="26"/>
  <c r="C64" i="26"/>
  <c r="C63" i="26"/>
  <c r="C62" i="26"/>
  <c r="B60" i="26"/>
  <c r="C58" i="26"/>
  <c r="C57" i="26"/>
  <c r="C54" i="26"/>
  <c r="C53" i="26"/>
  <c r="H41" i="26"/>
  <c r="G41" i="26"/>
  <c r="F41" i="26"/>
  <c r="E41" i="26"/>
  <c r="D41" i="26"/>
  <c r="B41" i="26"/>
  <c r="B40" i="26"/>
  <c r="F29" i="26"/>
  <c r="C29" i="26"/>
  <c r="C25" i="26"/>
  <c r="F24" i="26"/>
  <c r="C24" i="26"/>
  <c r="F23" i="26"/>
  <c r="C23" i="26"/>
  <c r="F22" i="26"/>
  <c r="C22" i="26"/>
  <c r="F21" i="26"/>
  <c r="C21" i="26"/>
  <c r="B15" i="26"/>
  <c r="B14" i="26"/>
  <c r="B13" i="26"/>
  <c r="B12" i="26"/>
  <c r="B11" i="26"/>
  <c r="C60" i="23"/>
  <c r="C59" i="23"/>
  <c r="C58" i="23"/>
  <c r="C57" i="23"/>
  <c r="C56" i="23"/>
  <c r="C55" i="23"/>
  <c r="C54" i="23"/>
  <c r="C51" i="23"/>
  <c r="C50" i="23"/>
  <c r="C49" i="23"/>
  <c r="C48" i="23"/>
  <c r="C47" i="23"/>
  <c r="C46" i="23"/>
  <c r="C45" i="23"/>
  <c r="C44" i="23"/>
  <c r="C43" i="23"/>
  <c r="C42" i="23"/>
  <c r="C41" i="23"/>
  <c r="C38" i="23"/>
  <c r="C37" i="23"/>
  <c r="B38" i="23"/>
  <c r="B41" i="23" s="1"/>
  <c r="B42" i="23" s="1"/>
  <c r="B43" i="23" s="1"/>
  <c r="B44" i="23" s="1"/>
  <c r="B45" i="23" s="1"/>
  <c r="B46" i="23" s="1"/>
  <c r="B47" i="23" s="1"/>
  <c r="B48" i="23" s="1"/>
  <c r="B49" i="23" s="1"/>
  <c r="B50" i="23" s="1"/>
  <c r="B51" i="23" s="1"/>
  <c r="B54" i="23" s="1"/>
  <c r="B55" i="23" s="1"/>
  <c r="B56" i="23" s="1"/>
  <c r="B57" i="23" s="1"/>
  <c r="B58" i="23" s="1"/>
  <c r="B59" i="23" s="1"/>
  <c r="B60" i="23" s="1"/>
  <c r="S12" i="28" s="1"/>
  <c r="B52" i="23"/>
  <c r="B39" i="23"/>
  <c r="C71" i="23"/>
  <c r="C66" i="23"/>
  <c r="C65" i="23"/>
  <c r="C64" i="23"/>
  <c r="B62" i="23"/>
  <c r="H53" i="23"/>
  <c r="G53" i="23"/>
  <c r="F53" i="23"/>
  <c r="E53" i="23"/>
  <c r="D53" i="23"/>
  <c r="B53" i="23"/>
  <c r="H40" i="23"/>
  <c r="G40" i="23"/>
  <c r="F40" i="23"/>
  <c r="E40" i="23"/>
  <c r="D40" i="23"/>
  <c r="B40" i="23"/>
  <c r="H36" i="23"/>
  <c r="G36" i="23"/>
  <c r="F36" i="23"/>
  <c r="E36" i="23"/>
  <c r="D36" i="23"/>
  <c r="B36" i="23"/>
  <c r="B35" i="23"/>
  <c r="C28" i="23"/>
  <c r="C27" i="23"/>
  <c r="F27" i="23"/>
  <c r="C26" i="23"/>
  <c r="C25" i="23"/>
  <c r="C24" i="23"/>
  <c r="C23" i="23"/>
  <c r="C22" i="23"/>
  <c r="O12" i="28" s="1"/>
  <c r="F26" i="23"/>
  <c r="F23" i="23"/>
  <c r="F22" i="23"/>
  <c r="F25" i="23"/>
  <c r="F24" i="23"/>
  <c r="F21" i="23"/>
  <c r="C21" i="23"/>
  <c r="B15" i="23"/>
  <c r="B14" i="23"/>
  <c r="B13" i="23"/>
  <c r="B12" i="23"/>
  <c r="B11" i="23"/>
  <c r="B10" i="23"/>
  <c r="F23" i="21"/>
  <c r="C23" i="21"/>
  <c r="F22" i="21"/>
  <c r="C22" i="21"/>
  <c r="O10" i="28" s="1"/>
  <c r="C58" i="21"/>
  <c r="C53" i="21"/>
  <c r="C52" i="21"/>
  <c r="C51" i="21"/>
  <c r="B49" i="21"/>
  <c r="F21" i="21"/>
  <c r="C21" i="21"/>
  <c r="B15" i="21"/>
  <c r="B14" i="21"/>
  <c r="B13" i="21"/>
  <c r="B12" i="21"/>
  <c r="B11" i="21"/>
  <c r="B10" i="21"/>
  <c r="F27" i="19"/>
  <c r="C27" i="19"/>
  <c r="F26" i="19"/>
  <c r="C26" i="19"/>
  <c r="F25" i="19"/>
  <c r="C25" i="19"/>
  <c r="F24" i="19"/>
  <c r="C24" i="19"/>
  <c r="F23" i="19"/>
  <c r="C23" i="19"/>
  <c r="O8" i="28" s="1"/>
  <c r="F22" i="19"/>
  <c r="C22" i="19"/>
  <c r="C53" i="19"/>
  <c r="C52" i="19"/>
  <c r="C47" i="21"/>
  <c r="C46" i="21"/>
  <c r="C45" i="21"/>
  <c r="C44" i="21"/>
  <c r="C43" i="21"/>
  <c r="C42" i="21"/>
  <c r="C41" i="21"/>
  <c r="C40" i="21"/>
  <c r="C39" i="21"/>
  <c r="C38" i="21"/>
  <c r="C37" i="21"/>
  <c r="C36" i="21"/>
  <c r="C35" i="21"/>
  <c r="C34" i="21"/>
  <c r="C33" i="21"/>
  <c r="B33" i="21"/>
  <c r="B34" i="21" s="1"/>
  <c r="B35" i="21" s="1"/>
  <c r="B36" i="21" s="1"/>
  <c r="B37" i="21" s="1"/>
  <c r="B38" i="21" s="1"/>
  <c r="B39" i="21" s="1"/>
  <c r="B40" i="21" s="1"/>
  <c r="B41" i="21" s="1"/>
  <c r="B42" i="21" s="1"/>
  <c r="B43" i="21" s="1"/>
  <c r="B44" i="21" s="1"/>
  <c r="B45" i="21" s="1"/>
  <c r="B46" i="21" s="1"/>
  <c r="B47" i="21" s="1"/>
  <c r="S10" i="28" s="1"/>
  <c r="C32" i="21"/>
  <c r="H31" i="21"/>
  <c r="G31" i="21"/>
  <c r="F31" i="21"/>
  <c r="E31" i="21"/>
  <c r="D31" i="21"/>
  <c r="B31" i="21"/>
  <c r="B30" i="21"/>
  <c r="B37" i="19"/>
  <c r="B38" i="19" s="1"/>
  <c r="B39" i="19" s="1"/>
  <c r="B40" i="19" s="1"/>
  <c r="B41" i="19" s="1"/>
  <c r="B42" i="19" s="1"/>
  <c r="B43" i="19" s="1"/>
  <c r="B44" i="19" s="1"/>
  <c r="B45" i="19" s="1"/>
  <c r="B46" i="19" s="1"/>
  <c r="B47" i="19" s="1"/>
  <c r="B48" i="19" s="1"/>
  <c r="B49" i="19" s="1"/>
  <c r="B50" i="19" s="1"/>
  <c r="B51" i="19" s="1"/>
  <c r="B52" i="19" s="1"/>
  <c r="B53" i="19" s="1"/>
  <c r="S8" i="28" s="1"/>
  <c r="C64" i="19"/>
  <c r="C59" i="19"/>
  <c r="C58" i="19"/>
  <c r="C57" i="19"/>
  <c r="B55" i="19"/>
  <c r="C51" i="19"/>
  <c r="C50" i="19"/>
  <c r="C49" i="19"/>
  <c r="C48" i="19"/>
  <c r="C47" i="19"/>
  <c r="C46" i="19"/>
  <c r="C45" i="19"/>
  <c r="C44" i="19"/>
  <c r="C43" i="19"/>
  <c r="C42" i="19"/>
  <c r="C41" i="19"/>
  <c r="C40" i="19"/>
  <c r="C39" i="19"/>
  <c r="C38" i="19"/>
  <c r="C37" i="19"/>
  <c r="C36" i="19"/>
  <c r="H35" i="19"/>
  <c r="G35" i="19"/>
  <c r="F35" i="19"/>
  <c r="E35" i="19"/>
  <c r="D35" i="19"/>
  <c r="B35" i="19"/>
  <c r="B34" i="19"/>
  <c r="F21" i="19"/>
  <c r="C21" i="19"/>
  <c r="B15" i="19"/>
  <c r="B14" i="19"/>
  <c r="B13" i="19"/>
  <c r="B12" i="19"/>
  <c r="B11" i="19"/>
  <c r="C96" i="25"/>
  <c r="C95" i="25"/>
  <c r="C94" i="25"/>
  <c r="C93" i="25"/>
  <c r="C92" i="25"/>
  <c r="C91" i="25"/>
  <c r="C87" i="25"/>
  <c r="C86" i="25"/>
  <c r="C85" i="25"/>
  <c r="C84" i="25"/>
  <c r="C83" i="25"/>
  <c r="C82" i="25"/>
  <c r="B80" i="25"/>
  <c r="C78" i="25"/>
  <c r="C77" i="25"/>
  <c r="C76" i="25"/>
  <c r="C75" i="25"/>
  <c r="C74" i="25"/>
  <c r="C73" i="25"/>
  <c r="C72" i="25"/>
  <c r="C71" i="25"/>
  <c r="C70" i="25"/>
  <c r="C69" i="25"/>
  <c r="B67" i="25"/>
  <c r="C65" i="25"/>
  <c r="C64" i="25"/>
  <c r="C63" i="25"/>
  <c r="C62" i="25"/>
  <c r="C61" i="25"/>
  <c r="C60" i="25"/>
  <c r="C59" i="25"/>
  <c r="C58" i="25"/>
  <c r="C57" i="25"/>
  <c r="C56" i="25"/>
  <c r="C55" i="25"/>
  <c r="C54" i="25"/>
  <c r="C53" i="25"/>
  <c r="C52" i="25"/>
  <c r="C51" i="25"/>
  <c r="C50" i="25"/>
  <c r="B48" i="25"/>
  <c r="C46" i="25"/>
  <c r="C45" i="25"/>
  <c r="C44" i="25"/>
  <c r="C43" i="25"/>
  <c r="C42" i="25"/>
  <c r="C41" i="25"/>
  <c r="C40" i="25"/>
  <c r="C39" i="25"/>
  <c r="B37" i="25"/>
  <c r="C107" i="25"/>
  <c r="C102" i="25"/>
  <c r="C101" i="25"/>
  <c r="C100" i="25"/>
  <c r="B98" i="25"/>
  <c r="H90" i="25"/>
  <c r="G90" i="25"/>
  <c r="F90" i="25"/>
  <c r="E90" i="25"/>
  <c r="D90" i="25"/>
  <c r="B90" i="25"/>
  <c r="H81" i="25"/>
  <c r="G81" i="25"/>
  <c r="F81" i="25"/>
  <c r="E81" i="25"/>
  <c r="D81" i="25"/>
  <c r="B81" i="25"/>
  <c r="H68" i="25"/>
  <c r="G68" i="25"/>
  <c r="F68" i="25"/>
  <c r="E68" i="25"/>
  <c r="D68" i="25"/>
  <c r="B68" i="25"/>
  <c r="H49" i="25"/>
  <c r="G49" i="25"/>
  <c r="F49" i="25"/>
  <c r="E49" i="25"/>
  <c r="D49" i="25"/>
  <c r="B49" i="25"/>
  <c r="H38" i="25"/>
  <c r="G38" i="25"/>
  <c r="F38" i="25"/>
  <c r="E38" i="25"/>
  <c r="D38" i="25"/>
  <c r="B38" i="25"/>
  <c r="C29" i="25"/>
  <c r="C28" i="25"/>
  <c r="F28" i="25"/>
  <c r="F27" i="25"/>
  <c r="F26" i="25"/>
  <c r="C26" i="25"/>
  <c r="C27" i="25"/>
  <c r="F25" i="25"/>
  <c r="F24" i="25"/>
  <c r="C24" i="25"/>
  <c r="C25" i="25"/>
  <c r="F23" i="25"/>
  <c r="C23" i="25"/>
  <c r="F22" i="25"/>
  <c r="C22" i="25"/>
  <c r="F21" i="25"/>
  <c r="F22" i="22"/>
  <c r="C21" i="25"/>
  <c r="F20" i="25"/>
  <c r="C20" i="25"/>
  <c r="B15" i="25"/>
  <c r="B14" i="25"/>
  <c r="B13" i="25"/>
  <c r="B12" i="25"/>
  <c r="B11" i="25"/>
  <c r="B10" i="25"/>
  <c r="C62" i="18"/>
  <c r="C57" i="18"/>
  <c r="C56" i="18"/>
  <c r="C55" i="18"/>
  <c r="B53" i="18"/>
  <c r="B53" i="22"/>
  <c r="B61" i="20"/>
  <c r="C50" i="18"/>
  <c r="C51" i="18"/>
  <c r="C49" i="18"/>
  <c r="C48" i="18"/>
  <c r="C47" i="18"/>
  <c r="C46" i="18"/>
  <c r="C45" i="18"/>
  <c r="C44" i="18"/>
  <c r="C43" i="18"/>
  <c r="C42" i="18"/>
  <c r="C41" i="18"/>
  <c r="C40" i="18"/>
  <c r="C39" i="18"/>
  <c r="C38" i="18"/>
  <c r="B32" i="18"/>
  <c r="C37" i="18"/>
  <c r="B37" i="18"/>
  <c r="B38" i="18" s="1"/>
  <c r="B39" i="18" s="1"/>
  <c r="B40" i="18" s="1"/>
  <c r="B41" i="18" s="1"/>
  <c r="B42" i="18" s="1"/>
  <c r="B43" i="18" s="1"/>
  <c r="B44" i="18" s="1"/>
  <c r="B45" i="18" s="1"/>
  <c r="B46" i="18" s="1"/>
  <c r="B47" i="18" s="1"/>
  <c r="B48" i="18" s="1"/>
  <c r="B49" i="18" s="1"/>
  <c r="B50" i="18" s="1"/>
  <c r="B51" i="18" s="1"/>
  <c r="S7" i="28" s="1"/>
  <c r="C36" i="18"/>
  <c r="C35" i="18"/>
  <c r="C34" i="18"/>
  <c r="C51" i="22"/>
  <c r="C50" i="22"/>
  <c r="C49" i="22"/>
  <c r="C48" i="22"/>
  <c r="C47" i="22"/>
  <c r="C46" i="22"/>
  <c r="C45" i="22"/>
  <c r="C44" i="22"/>
  <c r="C43" i="22"/>
  <c r="C42" i="22"/>
  <c r="H33" i="18"/>
  <c r="G33" i="18"/>
  <c r="F33" i="18"/>
  <c r="E33" i="18"/>
  <c r="D33" i="18"/>
  <c r="B33" i="18"/>
  <c r="F25" i="18"/>
  <c r="C25" i="18"/>
  <c r="F23" i="18"/>
  <c r="F24" i="18"/>
  <c r="C24" i="18"/>
  <c r="C23" i="18"/>
  <c r="C22" i="18"/>
  <c r="F22" i="18"/>
  <c r="F22" i="17"/>
  <c r="F21" i="18"/>
  <c r="C21" i="18"/>
  <c r="B15" i="18"/>
  <c r="B14" i="18"/>
  <c r="B13" i="18"/>
  <c r="B12" i="18"/>
  <c r="B11" i="18"/>
  <c r="B10" i="18"/>
  <c r="C64" i="17"/>
  <c r="C59" i="17"/>
  <c r="C58" i="17"/>
  <c r="C57" i="17"/>
  <c r="B55" i="17"/>
  <c r="C53" i="17"/>
  <c r="C52" i="17"/>
  <c r="C51" i="17"/>
  <c r="C50" i="17"/>
  <c r="C49" i="17"/>
  <c r="C48" i="17"/>
  <c r="C47" i="17"/>
  <c r="C46" i="17"/>
  <c r="C45" i="17"/>
  <c r="C44" i="17"/>
  <c r="C43" i="17"/>
  <c r="C42" i="17"/>
  <c r="C41" i="17"/>
  <c r="C40" i="17"/>
  <c r="C39" i="17"/>
  <c r="C38" i="17"/>
  <c r="B36" i="17"/>
  <c r="D29" i="17"/>
  <c r="C29" i="17"/>
  <c r="H37" i="17"/>
  <c r="G37" i="17"/>
  <c r="F37" i="17"/>
  <c r="E37" i="17"/>
  <c r="D37" i="17"/>
  <c r="B37" i="17"/>
  <c r="C27" i="17"/>
  <c r="C26" i="17"/>
  <c r="F27" i="17"/>
  <c r="F26" i="17"/>
  <c r="F25" i="17"/>
  <c r="C25" i="17"/>
  <c r="F24" i="17"/>
  <c r="C24" i="17"/>
  <c r="F23" i="17"/>
  <c r="C23" i="17"/>
  <c r="C22" i="17"/>
  <c r="F21" i="17"/>
  <c r="C21" i="17"/>
  <c r="B15" i="17"/>
  <c r="B14" i="17"/>
  <c r="B13" i="17"/>
  <c r="B12" i="17"/>
  <c r="B11" i="17"/>
  <c r="B10" i="17"/>
  <c r="C64" i="16"/>
  <c r="C63" i="16"/>
  <c r="C62" i="16"/>
  <c r="C61" i="16"/>
  <c r="C70" i="16"/>
  <c r="C69" i="16"/>
  <c r="C68" i="16"/>
  <c r="C57" i="16"/>
  <c r="C56" i="16"/>
  <c r="C55" i="16"/>
  <c r="C51" i="16"/>
  <c r="C50" i="16"/>
  <c r="C46" i="16"/>
  <c r="C45" i="16"/>
  <c r="C44" i="16"/>
  <c r="C43" i="16"/>
  <c r="B66" i="16"/>
  <c r="B59" i="16"/>
  <c r="B53" i="16"/>
  <c r="B48" i="16"/>
  <c r="B41" i="16"/>
  <c r="F33" i="16"/>
  <c r="C32" i="16"/>
  <c r="F32" i="16"/>
  <c r="F31" i="16"/>
  <c r="F27" i="16"/>
  <c r="F26" i="16"/>
  <c r="F25" i="16"/>
  <c r="F24" i="16"/>
  <c r="F23" i="16"/>
  <c r="F30" i="16"/>
  <c r="F22" i="16"/>
  <c r="H67" i="16"/>
  <c r="G67" i="16"/>
  <c r="F67" i="16"/>
  <c r="E67" i="16"/>
  <c r="D67" i="16"/>
  <c r="B67" i="16"/>
  <c r="H60" i="16"/>
  <c r="G60" i="16"/>
  <c r="F60" i="16"/>
  <c r="E60" i="16"/>
  <c r="D60" i="16"/>
  <c r="B60" i="16"/>
  <c r="H54" i="16"/>
  <c r="G54" i="16"/>
  <c r="F54" i="16"/>
  <c r="E54" i="16"/>
  <c r="D54" i="16"/>
  <c r="B54" i="16"/>
  <c r="H49" i="16"/>
  <c r="G49" i="16"/>
  <c r="F49" i="16"/>
  <c r="E49" i="16"/>
  <c r="D49" i="16"/>
  <c r="B49" i="16"/>
  <c r="H42" i="16"/>
  <c r="G42" i="16"/>
  <c r="F42" i="16"/>
  <c r="E42" i="16"/>
  <c r="D42" i="16"/>
  <c r="B42" i="16"/>
  <c r="C81" i="16"/>
  <c r="C76" i="16"/>
  <c r="C75" i="16"/>
  <c r="C74" i="16"/>
  <c r="B72" i="16"/>
  <c r="C33" i="16"/>
  <c r="C31" i="16"/>
  <c r="C30" i="16"/>
  <c r="C29" i="16"/>
  <c r="C23" i="16"/>
  <c r="C28" i="16"/>
  <c r="C27" i="16"/>
  <c r="C26" i="16"/>
  <c r="C25" i="16"/>
  <c r="C24" i="16"/>
  <c r="C22" i="16"/>
  <c r="F21" i="16"/>
  <c r="C21" i="16"/>
  <c r="B15" i="16"/>
  <c r="B14" i="16"/>
  <c r="B13" i="16"/>
  <c r="B12" i="16"/>
  <c r="B11" i="16"/>
  <c r="B10" i="16"/>
  <c r="C72" i="15"/>
  <c r="C71" i="15"/>
  <c r="C70" i="15"/>
  <c r="C69" i="15"/>
  <c r="C68" i="15"/>
  <c r="C67" i="15"/>
  <c r="C66" i="15"/>
  <c r="C65" i="15"/>
  <c r="C64" i="15"/>
  <c r="C63" i="15"/>
  <c r="C62" i="15"/>
  <c r="H61" i="15"/>
  <c r="G61" i="15"/>
  <c r="F61" i="15"/>
  <c r="E61" i="15"/>
  <c r="D61" i="15"/>
  <c r="B61" i="15"/>
  <c r="H49" i="15"/>
  <c r="G49" i="15"/>
  <c r="F49" i="15"/>
  <c r="E49" i="15"/>
  <c r="D49" i="15"/>
  <c r="B49" i="15"/>
  <c r="H39" i="15"/>
  <c r="G39" i="15"/>
  <c r="F39" i="15"/>
  <c r="E39" i="15"/>
  <c r="D39" i="15"/>
  <c r="B39" i="15"/>
  <c r="H38" i="14"/>
  <c r="G38" i="14"/>
  <c r="F38" i="14"/>
  <c r="E38" i="14"/>
  <c r="D38" i="14"/>
  <c r="B38" i="14"/>
  <c r="H44" i="14"/>
  <c r="G44" i="14"/>
  <c r="F44" i="14"/>
  <c r="E44" i="14"/>
  <c r="D44" i="14"/>
  <c r="B44" i="14"/>
  <c r="H49" i="14"/>
  <c r="G49" i="14"/>
  <c r="F49" i="14"/>
  <c r="E49" i="14"/>
  <c r="D49" i="14"/>
  <c r="B49" i="14"/>
  <c r="H54" i="14"/>
  <c r="G54" i="14"/>
  <c r="F54" i="14"/>
  <c r="E54" i="14"/>
  <c r="D54" i="14"/>
  <c r="B54" i="14"/>
  <c r="H58" i="14"/>
  <c r="G58" i="14"/>
  <c r="F58" i="14"/>
  <c r="E58" i="14"/>
  <c r="D58" i="14"/>
  <c r="B58" i="14"/>
  <c r="H64" i="14"/>
  <c r="G64" i="14"/>
  <c r="F64" i="14"/>
  <c r="E64" i="14"/>
  <c r="D64" i="14"/>
  <c r="B64" i="14"/>
  <c r="H70" i="14"/>
  <c r="G70" i="14"/>
  <c r="F70" i="14"/>
  <c r="E70" i="14"/>
  <c r="D70" i="14"/>
  <c r="B70" i="14"/>
  <c r="H75" i="14"/>
  <c r="G75" i="14"/>
  <c r="F75" i="14"/>
  <c r="E75" i="14"/>
  <c r="D75" i="14"/>
  <c r="B75" i="14"/>
  <c r="B60" i="15"/>
  <c r="C58" i="15"/>
  <c r="C57" i="15"/>
  <c r="C56" i="15"/>
  <c r="C55" i="15"/>
  <c r="C54" i="15"/>
  <c r="C53" i="15"/>
  <c r="C52" i="15"/>
  <c r="C51" i="15"/>
  <c r="C50" i="15"/>
  <c r="B48" i="15"/>
  <c r="C46" i="15"/>
  <c r="C45" i="15"/>
  <c r="C44" i="15"/>
  <c r="C43" i="15"/>
  <c r="C42" i="15"/>
  <c r="C41" i="15"/>
  <c r="C40" i="15"/>
  <c r="B41" i="15"/>
  <c r="B42" i="15" s="1"/>
  <c r="B43" i="15" s="1"/>
  <c r="B44" i="15" s="1"/>
  <c r="B45" i="15" s="1"/>
  <c r="B46" i="15" s="1"/>
  <c r="B50" i="15" s="1"/>
  <c r="B51" i="15" s="1"/>
  <c r="B52" i="15" s="1"/>
  <c r="B53" i="15" s="1"/>
  <c r="B54" i="15" s="1"/>
  <c r="B55" i="15" s="1"/>
  <c r="B56" i="15" s="1"/>
  <c r="B57" i="15" s="1"/>
  <c r="B58" i="15" s="1"/>
  <c r="B62" i="15" s="1"/>
  <c r="B63" i="15" s="1"/>
  <c r="B64" i="15" s="1"/>
  <c r="B65" i="15" s="1"/>
  <c r="B66" i="15" s="1"/>
  <c r="B67" i="15" s="1"/>
  <c r="B68" i="15" s="1"/>
  <c r="B69" i="15" s="1"/>
  <c r="B70" i="15" s="1"/>
  <c r="B71" i="15" s="1"/>
  <c r="B72" i="15" s="1"/>
  <c r="H11" i="28" s="1"/>
  <c r="B38" i="15"/>
  <c r="C83" i="15"/>
  <c r="C78" i="15"/>
  <c r="C77" i="15"/>
  <c r="C76" i="15"/>
  <c r="B74" i="15"/>
  <c r="F29" i="15"/>
  <c r="C30" i="15"/>
  <c r="C29" i="15"/>
  <c r="F28" i="15"/>
  <c r="C28" i="15"/>
  <c r="C26" i="15"/>
  <c r="C27" i="15"/>
  <c r="F27" i="15"/>
  <c r="F26" i="15"/>
  <c r="C25" i="15"/>
  <c r="F25" i="15"/>
  <c r="C24" i="15"/>
  <c r="C23" i="15"/>
  <c r="F24" i="15"/>
  <c r="F23" i="15"/>
  <c r="F22" i="15"/>
  <c r="C22" i="15"/>
  <c r="F21" i="15"/>
  <c r="C21" i="15"/>
  <c r="B15" i="15"/>
  <c r="B14" i="15"/>
  <c r="B13" i="15"/>
  <c r="B12" i="15"/>
  <c r="B11" i="15"/>
  <c r="B10" i="15"/>
  <c r="C76" i="14"/>
  <c r="C72" i="14"/>
  <c r="C71" i="14"/>
  <c r="C67" i="14"/>
  <c r="C66" i="14"/>
  <c r="C65" i="14"/>
  <c r="C61" i="14"/>
  <c r="C60" i="14"/>
  <c r="C59" i="14"/>
  <c r="B63" i="14"/>
  <c r="B57" i="14"/>
  <c r="C55" i="14"/>
  <c r="C51" i="14"/>
  <c r="C50" i="14"/>
  <c r="C46" i="14"/>
  <c r="C45" i="14"/>
  <c r="C41" i="14"/>
  <c r="C40" i="14"/>
  <c r="C39" i="14"/>
  <c r="C87" i="14"/>
  <c r="C82" i="14"/>
  <c r="C81" i="14"/>
  <c r="C80" i="14"/>
  <c r="B78" i="14"/>
  <c r="B69" i="14"/>
  <c r="B53" i="14"/>
  <c r="B48" i="14"/>
  <c r="B43" i="14"/>
  <c r="B37" i="14"/>
  <c r="F27" i="14"/>
  <c r="F26" i="14"/>
  <c r="F25" i="14"/>
  <c r="F24" i="14"/>
  <c r="F23" i="14"/>
  <c r="F22" i="14"/>
  <c r="C28" i="14"/>
  <c r="C27" i="14"/>
  <c r="C26" i="14"/>
  <c r="C25" i="14"/>
  <c r="C24" i="14"/>
  <c r="C23" i="14"/>
  <c r="C22" i="14"/>
  <c r="D10" i="28" s="1"/>
  <c r="J10" i="28" s="1"/>
  <c r="F21" i="14"/>
  <c r="C21" i="14"/>
  <c r="B15" i="14"/>
  <c r="B14" i="14"/>
  <c r="B13" i="14"/>
  <c r="B12" i="14"/>
  <c r="B11" i="14"/>
  <c r="B10" i="14"/>
  <c r="C106" i="13"/>
  <c r="C102" i="13"/>
  <c r="C101" i="13"/>
  <c r="C100" i="13"/>
  <c r="C96" i="13"/>
  <c r="C92" i="13"/>
  <c r="C91" i="13"/>
  <c r="B98" i="13"/>
  <c r="B94" i="13"/>
  <c r="B89" i="13"/>
  <c r="B82" i="13"/>
  <c r="C87" i="13"/>
  <c r="C86" i="13"/>
  <c r="C85" i="13"/>
  <c r="C84" i="13"/>
  <c r="C80" i="13"/>
  <c r="C79" i="13"/>
  <c r="B77" i="13"/>
  <c r="C75" i="13"/>
  <c r="C74" i="13"/>
  <c r="C73" i="13"/>
  <c r="C72" i="13"/>
  <c r="B70" i="13"/>
  <c r="C68" i="13"/>
  <c r="C67" i="13"/>
  <c r="C66" i="13"/>
  <c r="C65" i="13"/>
  <c r="B63" i="13"/>
  <c r="B52" i="13"/>
  <c r="C61" i="13"/>
  <c r="C60" i="13"/>
  <c r="C59" i="13"/>
  <c r="C58" i="13"/>
  <c r="C57" i="13"/>
  <c r="C56" i="13"/>
  <c r="C55" i="13"/>
  <c r="C54" i="13"/>
  <c r="C50" i="13"/>
  <c r="C49" i="13"/>
  <c r="C48" i="13"/>
  <c r="C47" i="13"/>
  <c r="C46" i="13"/>
  <c r="C45" i="13"/>
  <c r="C44" i="13"/>
  <c r="C43" i="13"/>
  <c r="B42" i="13"/>
  <c r="B41" i="13"/>
  <c r="C117" i="13"/>
  <c r="C112" i="13"/>
  <c r="C111" i="13"/>
  <c r="C110" i="13"/>
  <c r="B108" i="13"/>
  <c r="B138" i="11"/>
  <c r="B118" i="10"/>
  <c r="H105" i="13"/>
  <c r="G105" i="13"/>
  <c r="F105" i="13"/>
  <c r="E105" i="13"/>
  <c r="D105" i="13"/>
  <c r="B105" i="13"/>
  <c r="H99" i="13"/>
  <c r="G99" i="13"/>
  <c r="F99" i="13"/>
  <c r="E99" i="13"/>
  <c r="D99" i="13"/>
  <c r="B99" i="13"/>
  <c r="H95" i="13"/>
  <c r="G95" i="13"/>
  <c r="F95" i="13"/>
  <c r="E95" i="13"/>
  <c r="D95" i="13"/>
  <c r="B95" i="13"/>
  <c r="H90" i="13"/>
  <c r="G90" i="13"/>
  <c r="F90" i="13"/>
  <c r="E90" i="13"/>
  <c r="D90" i="13"/>
  <c r="B90" i="13"/>
  <c r="H83" i="13"/>
  <c r="G83" i="13"/>
  <c r="F83" i="13"/>
  <c r="E83" i="13"/>
  <c r="D83" i="13"/>
  <c r="B83" i="13"/>
  <c r="H78" i="13"/>
  <c r="G78" i="13"/>
  <c r="F78" i="13"/>
  <c r="E78" i="13"/>
  <c r="D78" i="13"/>
  <c r="B78" i="13"/>
  <c r="H71" i="13"/>
  <c r="G71" i="13"/>
  <c r="F71" i="13"/>
  <c r="E71" i="13"/>
  <c r="D71" i="13"/>
  <c r="B71" i="13"/>
  <c r="H64" i="13"/>
  <c r="G64" i="13"/>
  <c r="F64" i="13"/>
  <c r="E64" i="13"/>
  <c r="D64" i="13"/>
  <c r="B64" i="13"/>
  <c r="H53" i="13"/>
  <c r="G53" i="13"/>
  <c r="F53" i="13"/>
  <c r="E53" i="13"/>
  <c r="D53" i="13"/>
  <c r="B53" i="13"/>
  <c r="H42" i="13"/>
  <c r="G42" i="13"/>
  <c r="F42" i="13"/>
  <c r="E42" i="13"/>
  <c r="D42" i="13"/>
  <c r="F33" i="13"/>
  <c r="F32" i="13"/>
  <c r="F31" i="13"/>
  <c r="F30" i="13"/>
  <c r="F29" i="13"/>
  <c r="F28" i="13"/>
  <c r="F27" i="13"/>
  <c r="F25" i="13"/>
  <c r="F26" i="13"/>
  <c r="F24" i="13"/>
  <c r="C34" i="13"/>
  <c r="C33" i="13"/>
  <c r="C32" i="13"/>
  <c r="C31" i="13"/>
  <c r="C30" i="13"/>
  <c r="C29" i="13"/>
  <c r="C28" i="13"/>
  <c r="C27" i="13"/>
  <c r="D9" i="28" s="1"/>
  <c r="C26" i="13"/>
  <c r="C25" i="13"/>
  <c r="C24" i="13"/>
  <c r="C23" i="13"/>
  <c r="C22" i="13"/>
  <c r="F21" i="13"/>
  <c r="C21" i="13"/>
  <c r="B15" i="13"/>
  <c r="B14" i="13"/>
  <c r="B13" i="13"/>
  <c r="B12" i="13"/>
  <c r="B11" i="13"/>
  <c r="B10" i="13"/>
  <c r="C62" i="22"/>
  <c r="C57" i="22"/>
  <c r="C56" i="22"/>
  <c r="C55" i="22"/>
  <c r="C70" i="20"/>
  <c r="C65" i="20"/>
  <c r="C64" i="20"/>
  <c r="C63" i="20"/>
  <c r="C147" i="11"/>
  <c r="C142" i="11"/>
  <c r="C141" i="11"/>
  <c r="C140" i="11"/>
  <c r="C127" i="10"/>
  <c r="C122" i="10"/>
  <c r="C121" i="10"/>
  <c r="C120" i="10"/>
  <c r="H41" i="22"/>
  <c r="G41" i="22"/>
  <c r="F41" i="22"/>
  <c r="E41" i="22"/>
  <c r="D41" i="22"/>
  <c r="B41" i="22"/>
  <c r="C32" i="22"/>
  <c r="F32" i="22"/>
  <c r="F29" i="22"/>
  <c r="F31" i="22"/>
  <c r="F28" i="22"/>
  <c r="F26" i="22"/>
  <c r="F25" i="22"/>
  <c r="F24" i="22"/>
  <c r="F23" i="22"/>
  <c r="F21" i="22"/>
  <c r="C21" i="22"/>
  <c r="F21" i="20"/>
  <c r="C21" i="20"/>
  <c r="C31" i="22"/>
  <c r="C23" i="22"/>
  <c r="C24" i="22"/>
  <c r="C25" i="22"/>
  <c r="C26" i="22"/>
  <c r="C27" i="22"/>
  <c r="C28" i="22"/>
  <c r="C22" i="22"/>
  <c r="O11" i="28" s="1"/>
  <c r="U11" i="28" s="1"/>
  <c r="B15" i="22"/>
  <c r="B14" i="22"/>
  <c r="B13" i="22"/>
  <c r="B12" i="22"/>
  <c r="B11" i="22"/>
  <c r="B10" i="22"/>
  <c r="C59" i="20"/>
  <c r="C58" i="20"/>
  <c r="C57" i="20"/>
  <c r="C56" i="20"/>
  <c r="C55" i="20"/>
  <c r="C54" i="20"/>
  <c r="B52" i="20"/>
  <c r="B35" i="20"/>
  <c r="C51" i="20"/>
  <c r="C50" i="20"/>
  <c r="C49" i="20"/>
  <c r="C48" i="20"/>
  <c r="C47" i="20"/>
  <c r="C46" i="20"/>
  <c r="C45" i="20"/>
  <c r="C44" i="20"/>
  <c r="C43" i="20"/>
  <c r="C42" i="20"/>
  <c r="C41" i="20"/>
  <c r="C38" i="20"/>
  <c r="C37" i="20"/>
  <c r="C40" i="20"/>
  <c r="C39" i="20"/>
  <c r="H53" i="20"/>
  <c r="G53" i="20"/>
  <c r="F53" i="20"/>
  <c r="E53" i="20"/>
  <c r="D53" i="20"/>
  <c r="B53" i="20"/>
  <c r="H36" i="20"/>
  <c r="G36" i="20"/>
  <c r="F36" i="20"/>
  <c r="E36" i="20"/>
  <c r="D36" i="20"/>
  <c r="B36" i="20"/>
  <c r="F27" i="20"/>
  <c r="F23" i="20"/>
  <c r="F22" i="20"/>
  <c r="C27" i="20"/>
  <c r="C23" i="20"/>
  <c r="C22" i="20"/>
  <c r="B15" i="20"/>
  <c r="B14" i="20"/>
  <c r="B13" i="20"/>
  <c r="B12" i="20"/>
  <c r="B11" i="20"/>
  <c r="B10" i="20"/>
  <c r="C38" i="10"/>
  <c r="C136" i="11"/>
  <c r="B134" i="11"/>
  <c r="B135" i="11"/>
  <c r="H135" i="11"/>
  <c r="G135" i="11"/>
  <c r="F135" i="11"/>
  <c r="E135" i="11"/>
  <c r="D135" i="11"/>
  <c r="C132" i="11"/>
  <c r="C131" i="11"/>
  <c r="B129" i="11"/>
  <c r="H130" i="11"/>
  <c r="G130" i="11"/>
  <c r="F130" i="11"/>
  <c r="E130" i="11"/>
  <c r="D130" i="11"/>
  <c r="B130" i="11"/>
  <c r="C127" i="11"/>
  <c r="C126" i="11"/>
  <c r="C125" i="11"/>
  <c r="C124" i="11"/>
  <c r="B122" i="11"/>
  <c r="H123" i="11"/>
  <c r="G123" i="11"/>
  <c r="F123" i="11"/>
  <c r="E123" i="11"/>
  <c r="D123" i="11"/>
  <c r="B123" i="11"/>
  <c r="C120" i="11"/>
  <c r="C119" i="11"/>
  <c r="C118" i="11"/>
  <c r="C117" i="11"/>
  <c r="C116" i="11"/>
  <c r="C115" i="11"/>
  <c r="B113" i="11"/>
  <c r="H114" i="11"/>
  <c r="G114" i="11"/>
  <c r="F114" i="11"/>
  <c r="E114" i="11"/>
  <c r="D114" i="11"/>
  <c r="B114" i="11"/>
  <c r="B111" i="11"/>
  <c r="C102" i="11"/>
  <c r="C81" i="11"/>
  <c r="C77" i="11"/>
  <c r="C109" i="11"/>
  <c r="C108" i="11"/>
  <c r="C107" i="11"/>
  <c r="C106" i="11"/>
  <c r="H104" i="11"/>
  <c r="G104" i="11"/>
  <c r="F104" i="11"/>
  <c r="E104" i="11"/>
  <c r="D104" i="11"/>
  <c r="B104" i="11"/>
  <c r="B103" i="11"/>
  <c r="C101" i="11"/>
  <c r="C100" i="11"/>
  <c r="C99" i="11"/>
  <c r="C98" i="11"/>
  <c r="C97" i="11"/>
  <c r="C96" i="11"/>
  <c r="C95" i="11"/>
  <c r="C94" i="11"/>
  <c r="C93" i="11"/>
  <c r="C92" i="11"/>
  <c r="C91" i="11"/>
  <c r="C90" i="11"/>
  <c r="C89" i="11"/>
  <c r="C88" i="11"/>
  <c r="C87" i="11"/>
  <c r="C86" i="11"/>
  <c r="C85" i="11"/>
  <c r="C84" i="11"/>
  <c r="C83" i="11"/>
  <c r="C82" i="11"/>
  <c r="C80" i="11"/>
  <c r="C79" i="11"/>
  <c r="C78" i="11"/>
  <c r="C76" i="11"/>
  <c r="H75" i="11"/>
  <c r="G75" i="11"/>
  <c r="F75" i="11"/>
  <c r="E75" i="11"/>
  <c r="D75" i="11"/>
  <c r="B75" i="11"/>
  <c r="B74" i="11"/>
  <c r="C73" i="11"/>
  <c r="C72" i="11"/>
  <c r="C71" i="11"/>
  <c r="C70" i="11"/>
  <c r="C69" i="11"/>
  <c r="C68" i="11"/>
  <c r="C67" i="11"/>
  <c r="C66" i="11"/>
  <c r="H65" i="11"/>
  <c r="G65" i="11"/>
  <c r="F65" i="11"/>
  <c r="E65" i="11"/>
  <c r="D65" i="11"/>
  <c r="B65" i="11"/>
  <c r="B64" i="11"/>
  <c r="C63" i="11"/>
  <c r="C62" i="11"/>
  <c r="C61" i="11"/>
  <c r="H60" i="11"/>
  <c r="G60" i="11"/>
  <c r="F60" i="11"/>
  <c r="E60" i="11"/>
  <c r="D60" i="11"/>
  <c r="B60" i="11"/>
  <c r="B59" i="11"/>
  <c r="C58" i="11"/>
  <c r="C57" i="11"/>
  <c r="C56" i="11"/>
  <c r="C55" i="11"/>
  <c r="H54" i="11"/>
  <c r="G54" i="11"/>
  <c r="F54" i="11"/>
  <c r="E54" i="11"/>
  <c r="D54" i="11"/>
  <c r="B54" i="11"/>
  <c r="B53" i="11"/>
  <c r="B51" i="11"/>
  <c r="F41" i="11"/>
  <c r="C41" i="11" s="1"/>
  <c r="F40" i="11"/>
  <c r="F38" i="11"/>
  <c r="F37" i="11"/>
  <c r="C32" i="10"/>
  <c r="F31" i="11"/>
  <c r="F30" i="11"/>
  <c r="F29" i="11"/>
  <c r="F28" i="11"/>
  <c r="F27" i="11"/>
  <c r="F26" i="11"/>
  <c r="C42" i="11"/>
  <c r="C25" i="11"/>
  <c r="C26" i="11"/>
  <c r="C27" i="11"/>
  <c r="C28" i="11"/>
  <c r="C29" i="11"/>
  <c r="C30" i="11"/>
  <c r="C31" i="11"/>
  <c r="C32" i="11"/>
  <c r="C33" i="11"/>
  <c r="C34" i="11"/>
  <c r="C35" i="11"/>
  <c r="C36" i="11"/>
  <c r="C37" i="11"/>
  <c r="C38" i="11"/>
  <c r="C39" i="11"/>
  <c r="C40" i="11"/>
  <c r="C24" i="11"/>
  <c r="F23" i="11"/>
  <c r="C23" i="11"/>
  <c r="B17" i="11"/>
  <c r="B15" i="11"/>
  <c r="B14" i="11"/>
  <c r="B13" i="11"/>
  <c r="B12" i="11"/>
  <c r="B11" i="11"/>
  <c r="C116" i="10"/>
  <c r="C115" i="10"/>
  <c r="C114" i="10"/>
  <c r="C113" i="10"/>
  <c r="C112" i="10"/>
  <c r="H110" i="10"/>
  <c r="G110" i="10"/>
  <c r="F110" i="10"/>
  <c r="E110" i="10"/>
  <c r="D110" i="10"/>
  <c r="B110" i="10"/>
  <c r="C108" i="10"/>
  <c r="C107" i="10"/>
  <c r="C106" i="10"/>
  <c r="C105" i="10"/>
  <c r="C104" i="10"/>
  <c r="C102" i="10"/>
  <c r="C101" i="10"/>
  <c r="C100" i="10"/>
  <c r="C99" i="10"/>
  <c r="C98" i="10"/>
  <c r="C96" i="10"/>
  <c r="C95" i="10"/>
  <c r="C94" i="10"/>
  <c r="C93" i="10"/>
  <c r="C92" i="10"/>
  <c r="C91" i="10"/>
  <c r="C90" i="10"/>
  <c r="C89" i="10"/>
  <c r="C88" i="10"/>
  <c r="C87" i="10"/>
  <c r="C86" i="10"/>
  <c r="C85" i="10"/>
  <c r="C84" i="10"/>
  <c r="C82" i="10"/>
  <c r="B80" i="10"/>
  <c r="B81" i="10"/>
  <c r="H81" i="10"/>
  <c r="G81" i="10"/>
  <c r="F81" i="10"/>
  <c r="E81" i="10"/>
  <c r="D81" i="10"/>
  <c r="C79" i="10"/>
  <c r="C78" i="10"/>
  <c r="C77" i="10"/>
  <c r="C76" i="10"/>
  <c r="C75" i="10"/>
  <c r="C74" i="10"/>
  <c r="C73" i="10"/>
  <c r="C72" i="10"/>
  <c r="B70" i="10"/>
  <c r="H71" i="10"/>
  <c r="G71" i="10"/>
  <c r="F71" i="10"/>
  <c r="E71" i="10"/>
  <c r="D71" i="10"/>
  <c r="B71" i="10"/>
  <c r="C69" i="10"/>
  <c r="C68" i="10"/>
  <c r="C67" i="10"/>
  <c r="B65" i="10"/>
  <c r="H66" i="10"/>
  <c r="G66" i="10"/>
  <c r="F66" i="10"/>
  <c r="E66" i="10"/>
  <c r="D66" i="10"/>
  <c r="B66" i="10"/>
  <c r="C64" i="10"/>
  <c r="C63" i="10"/>
  <c r="C62" i="10"/>
  <c r="C61" i="10"/>
  <c r="H60" i="10"/>
  <c r="G60" i="10"/>
  <c r="F60" i="10"/>
  <c r="D60" i="10"/>
  <c r="E60" i="10"/>
  <c r="B60" i="10"/>
  <c r="B59" i="10"/>
  <c r="B57" i="10"/>
  <c r="B56" i="10"/>
  <c r="B55" i="10"/>
  <c r="B54" i="10"/>
  <c r="B53" i="10"/>
  <c r="F28" i="10"/>
  <c r="B40" i="25"/>
  <c r="B41" i="25" s="1"/>
  <c r="B42" i="25" s="1"/>
  <c r="B43" i="25" s="1"/>
  <c r="B44" i="25" s="1"/>
  <c r="B45" i="25" s="1"/>
  <c r="B46" i="25" s="1"/>
  <c r="B50" i="25" s="1"/>
  <c r="B51" i="25" s="1"/>
  <c r="B52" i="25" s="1"/>
  <c r="B53" i="25" s="1"/>
  <c r="B54" i="25" s="1"/>
  <c r="B55" i="25" s="1"/>
  <c r="B56" i="25" s="1"/>
  <c r="B57" i="25" s="1"/>
  <c r="B58" i="25" s="1"/>
  <c r="B59" i="25" s="1"/>
  <c r="B60" i="25" s="1"/>
  <c r="B61" i="25" s="1"/>
  <c r="B62" i="25" s="1"/>
  <c r="B63" i="25" s="1"/>
  <c r="B64" i="25" s="1"/>
  <c r="B65" i="25" s="1"/>
  <c r="B69" i="25" s="1"/>
  <c r="B70" i="25" s="1"/>
  <c r="B71" i="25" s="1"/>
  <c r="B72" i="25" s="1"/>
  <c r="B73" i="25" s="1"/>
  <c r="B74" i="25" s="1"/>
  <c r="B75" i="25" s="1"/>
  <c r="B76" i="25" s="1"/>
  <c r="B77" i="25" s="1"/>
  <c r="B78" i="25" s="1"/>
  <c r="B82" i="25" s="1"/>
  <c r="B83" i="25" s="1"/>
  <c r="B84" i="25" s="1"/>
  <c r="B85" i="25" s="1"/>
  <c r="B86" i="25" s="1"/>
  <c r="B87" i="25" s="1"/>
  <c r="B91" i="25" s="1"/>
  <c r="B92" i="25" s="1"/>
  <c r="B93" i="25" s="1"/>
  <c r="B94" i="25" s="1"/>
  <c r="B95" i="25" s="1"/>
  <c r="B96" i="25" s="1"/>
  <c r="S13" i="28" s="1"/>
  <c r="B39" i="17"/>
  <c r="B40" i="17"/>
  <c r="B41" i="17" s="1"/>
  <c r="B42" i="17" s="1"/>
  <c r="B43" i="17" s="1"/>
  <c r="B44" i="17" s="1"/>
  <c r="B45" i="17" s="1"/>
  <c r="B46" i="17" s="1"/>
  <c r="B47" i="17" s="1"/>
  <c r="B48" i="17" s="1"/>
  <c r="B49" i="17" s="1"/>
  <c r="B50" i="17" s="1"/>
  <c r="B51" i="17" s="1"/>
  <c r="B52" i="17" s="1"/>
  <c r="B53" i="17" s="1"/>
  <c r="S6" i="28" s="1"/>
  <c r="B61" i="16"/>
  <c r="B62" i="16" s="1"/>
  <c r="B63" i="16" s="1"/>
  <c r="B64" i="16" s="1"/>
  <c r="B68" i="16" s="1"/>
  <c r="B69" i="16" s="1"/>
  <c r="B70" i="16" s="1"/>
  <c r="H12" i="28" s="1"/>
  <c r="B54" i="13"/>
  <c r="B55" i="13"/>
  <c r="B56" i="13" s="1"/>
  <c r="B57" i="13" s="1"/>
  <c r="B58" i="13" s="1"/>
  <c r="B59" i="13" s="1"/>
  <c r="B60" i="13" s="1"/>
  <c r="B61" i="13" s="1"/>
  <c r="B65" i="13" s="1"/>
  <c r="B66" i="13" s="1"/>
  <c r="B67" i="13" s="1"/>
  <c r="B68" i="13" s="1"/>
  <c r="B72" i="13" s="1"/>
  <c r="B73" i="13" s="1"/>
  <c r="B74" i="13" s="1"/>
  <c r="B75" i="13" s="1"/>
  <c r="B79" i="13" s="1"/>
  <c r="B80" i="13" s="1"/>
  <c r="B84" i="13" s="1"/>
  <c r="B85" i="13" s="1"/>
  <c r="B86" i="13" s="1"/>
  <c r="B87" i="13" s="1"/>
  <c r="B91" i="13" s="1"/>
  <c r="B92" i="13" s="1"/>
  <c r="B96" i="13" s="1"/>
  <c r="B100" i="13" s="1"/>
  <c r="B101" i="13" s="1"/>
  <c r="B102" i="13" s="1"/>
  <c r="B106" i="13" s="1"/>
  <c r="H9" i="28" s="1"/>
  <c r="B11" i="10"/>
  <c r="B12" i="10"/>
  <c r="B13" i="10"/>
  <c r="B15" i="10"/>
  <c r="C24" i="10"/>
  <c r="F24" i="10"/>
  <c r="C25" i="10"/>
  <c r="C26" i="10"/>
  <c r="C27" i="10"/>
  <c r="C28" i="10"/>
  <c r="C29" i="10"/>
  <c r="C30" i="10"/>
  <c r="C31" i="10"/>
  <c r="C33" i="10"/>
  <c r="C34" i="10"/>
  <c r="C35" i="10"/>
  <c r="C36" i="10"/>
  <c r="C37" i="10"/>
  <c r="C39" i="10"/>
  <c r="C40" i="10"/>
  <c r="C41" i="10"/>
  <c r="C42" i="10"/>
  <c r="C43" i="10"/>
  <c r="C44" i="10"/>
  <c r="C45" i="10"/>
  <c r="C46" i="10"/>
  <c r="O13" i="28"/>
  <c r="O9" i="28" l="1"/>
  <c r="U9" i="28" s="1"/>
  <c r="O14" i="28"/>
  <c r="D12" i="28"/>
  <c r="D11" i="28"/>
  <c r="O7" i="28"/>
  <c r="U7" i="28" s="1"/>
  <c r="O6" i="28"/>
  <c r="U6" i="28" s="1"/>
  <c r="U14" i="28"/>
  <c r="D8" i="28"/>
  <c r="J8" i="28" s="1"/>
  <c r="D6" i="28"/>
  <c r="J6" i="28" s="1"/>
  <c r="U12" i="28"/>
  <c r="U10" i="28"/>
  <c r="U13" i="28"/>
  <c r="U8" i="28"/>
  <c r="J12" i="28"/>
  <c r="J11" i="28"/>
  <c r="J9" i="28"/>
  <c r="D7" i="28"/>
  <c r="J7" i="28" s="1"/>
</calcChain>
</file>

<file path=xl/sharedStrings.xml><?xml version="1.0" encoding="utf-8"?>
<sst xmlns="http://schemas.openxmlformats.org/spreadsheetml/2006/main" count="179" uniqueCount="91">
  <si>
    <t>Alimentação Animal</t>
  </si>
  <si>
    <t>Portaria MS 326/97 - DOU de 01/08/97 - Regulamento técnico sobre as condições higiênico-sanitárias e de Boas Práticas de Fabricação para estabelecimentos produtores/ industrializadores de alimentos.</t>
  </si>
  <si>
    <t>Legislações Aplicáveis</t>
  </si>
  <si>
    <t>Alimentos</t>
  </si>
  <si>
    <t>---</t>
  </si>
  <si>
    <t>Instrução Normativa MAPA no.1 de 2003 - Regulamento técnico sobre as condições higiênico-sanitárias e de Boas Práticas de Fabricação para estabelecimentos fabricantes e industrializadores de alimentos para animais e roteiro de inspeção.</t>
  </si>
  <si>
    <t>CAC/RCP 1/69, Rev. 3 (1997), Amd. (1999) - Recommended International Code of Pratice General Principles of Food Hygiene</t>
  </si>
  <si>
    <t>Portaria MAA 368/97 - DOU de 08/09/97 - Regulamento técnico sobre as condições higiênico-sanitárias e de boas práticas de fabricação para estabelecimentos elaboradores/ industrializadores de alimentos.</t>
  </si>
  <si>
    <t xml:space="preserve">Resolução-RDC 275/02 - DOU de 05/11/02 - Regulamento Técnico de Procedimentos Operacionais Padronizados aplicados aos Estabelecimentos Produtores/Industrializadores de Alimentos </t>
  </si>
  <si>
    <t>Este Questionário de Avaliação faz parte do Sistema de Qualificação de Fornecedores da ICC Brazil.</t>
  </si>
  <si>
    <t xml:space="preserve">NOTA: As questões devem ser preenchidas pela empresa fabricante do produto, estas informações não são de responsabilidade do distrubuidor. Portanto, o distribuidor precisa direcionar estas documento para o fabricante. </t>
  </si>
  <si>
    <t>Estamos à disposição para quaisquer esclarecimentos que se façam necessários e antecipadamente agradecemos sua colaboração</t>
  </si>
  <si>
    <r>
      <t>A devolução deste questionário preenchido e dos documentos solicitados deve ocorrem no</t>
    </r>
    <r>
      <rPr>
        <b/>
        <sz val="10"/>
        <rFont val="Arial"/>
        <family val="2"/>
      </rPr>
      <t xml:space="preserve"> prazo de até 10 dias úteis</t>
    </r>
    <r>
      <rPr>
        <sz val="10"/>
        <rFont val="Arial"/>
        <family val="2"/>
      </rPr>
      <t xml:space="preserve"> após o recebimento.</t>
    </r>
  </si>
  <si>
    <t>Obrigatório</t>
  </si>
  <si>
    <t>Diferencial</t>
  </si>
  <si>
    <r>
      <t xml:space="preserve">QUALIFICAÇÃO DE FORNECEDORES - EMBALAGEM PRIMÁRIA 
</t>
    </r>
    <r>
      <rPr>
        <b/>
        <sz val="16"/>
        <color indexed="55"/>
        <rFont val="Calibri"/>
        <family val="2"/>
      </rPr>
      <t>QUALIFICATION OF SUPPLIERS</t>
    </r>
    <r>
      <rPr>
        <b/>
        <sz val="16"/>
        <color indexed="55"/>
        <rFont val="Calibri"/>
        <family val="2"/>
      </rPr>
      <t xml:space="preserve"> - PRIMARY PACKAGE</t>
    </r>
  </si>
  <si>
    <r>
      <t xml:space="preserve">QUALIFICAÇÃO DE FORNECEDORES - EMBALAGEM SEGUNDÁRIA  
</t>
    </r>
    <r>
      <rPr>
        <b/>
        <sz val="16"/>
        <color indexed="55"/>
        <rFont val="Calibri"/>
        <family val="2"/>
      </rPr>
      <t>QUALIFICATION OF SUPPLIERS</t>
    </r>
    <r>
      <rPr>
        <b/>
        <sz val="16"/>
        <color indexed="55"/>
        <rFont val="Calibri"/>
        <family val="2"/>
      </rPr>
      <t xml:space="preserve"> - SECONDARY PACKAGING</t>
    </r>
  </si>
  <si>
    <r>
      <t xml:space="preserve">QUALIFICAÇÃO DE FORNECEDORES - EPI
</t>
    </r>
    <r>
      <rPr>
        <b/>
        <sz val="16"/>
        <color indexed="55"/>
        <rFont val="Calibri"/>
        <family val="2"/>
      </rPr>
      <t>QUALIFICATION OF SUPPLIERS - PPE</t>
    </r>
  </si>
  <si>
    <r>
      <t xml:space="preserve">QUALIFICAÇÃO DE FORNECEDORES - DESCARTE DE RESÍDUO
</t>
    </r>
    <r>
      <rPr>
        <b/>
        <sz val="16"/>
        <color indexed="55"/>
        <rFont val="Calibri"/>
        <family val="2"/>
      </rPr>
      <t>QUALIFICATION OF SUPPLIERS</t>
    </r>
    <r>
      <rPr>
        <b/>
        <sz val="16"/>
        <color indexed="55"/>
        <rFont val="Calibri"/>
        <family val="2"/>
      </rPr>
      <t xml:space="preserve"> - WASTE DISPOSAL</t>
    </r>
  </si>
  <si>
    <t xml:space="preserve">FOOD DEFENSE </t>
  </si>
  <si>
    <r>
      <t xml:space="preserve">QUALIFICAÇÃO DE FORNECEDORES - AUDITORES EXTERNOS
</t>
    </r>
    <r>
      <rPr>
        <b/>
        <sz val="16"/>
        <color indexed="55"/>
        <rFont val="Calibri"/>
        <family val="2"/>
      </rPr>
      <t>QUALIFICATION OF SUPPLIERS</t>
    </r>
  </si>
  <si>
    <t>FOOD DEFENSE E FOOD FRAUD</t>
  </si>
  <si>
    <r>
      <t xml:space="preserve">O fornecedor será </t>
    </r>
    <r>
      <rPr>
        <b/>
        <sz val="10"/>
        <rFont val="Arial"/>
        <family val="2"/>
      </rPr>
      <t>APROVADO</t>
    </r>
    <r>
      <rPr>
        <sz val="10"/>
        <rFont val="Arial"/>
        <family val="2"/>
      </rPr>
      <t xml:space="preserve"> mediante a apresentação e avaliação de toda a documentação solicitada neste questionário, e teste do produto quando pertinente. As compras só serão autorizada após completa avaliação.</t>
    </r>
  </si>
  <si>
    <t>This questionnaire is part of ICC Brazil Supplier Qualification Process</t>
  </si>
  <si>
    <t>Departamento de Qualidade ICC Brazil</t>
  </si>
  <si>
    <t>Quality Department ICC Brazil</t>
  </si>
  <si>
    <r>
      <t xml:space="preserve">This questionnaire must return filled with the requested documents </t>
    </r>
    <r>
      <rPr>
        <b/>
        <sz val="10"/>
        <rFont val="Arial"/>
        <family val="2"/>
      </rPr>
      <t>within 10 working days</t>
    </r>
    <r>
      <rPr>
        <sz val="10"/>
        <rFont val="Arial"/>
        <family val="2"/>
      </rPr>
      <t xml:space="preserve"> of receipt.</t>
    </r>
  </si>
  <si>
    <r>
      <t xml:space="preserve">QUALIFICAÇÃO DE FORNECEDORES - ORIENTAÇÕES GERAIS
</t>
    </r>
    <r>
      <rPr>
        <b/>
        <sz val="16"/>
        <color indexed="55"/>
        <rFont val="Calibri"/>
        <family val="2"/>
      </rPr>
      <t>SUPPLIER QUALIFICATION</t>
    </r>
    <r>
      <rPr>
        <b/>
        <sz val="16"/>
        <color indexed="55"/>
        <rFont val="Calibri"/>
        <family val="2"/>
      </rPr>
      <t>-  GENERAL GUIDELINES</t>
    </r>
  </si>
  <si>
    <t>Prezado Fornecedor / Dear Supplier</t>
  </si>
  <si>
    <r>
      <t xml:space="preserve">Se a empresa for fornecedora de produtos: </t>
    </r>
    <r>
      <rPr>
        <sz val="10"/>
        <rFont val="Arial"/>
        <family val="2"/>
      </rPr>
      <t>preencha alguma das categorias do itens 2.1 no menu inicial</t>
    </r>
  </si>
  <si>
    <r>
      <t xml:space="preserve">Se a empresa for fornecedora de serviço: </t>
    </r>
    <r>
      <rPr>
        <sz val="10"/>
        <rFont val="Arial"/>
        <family val="2"/>
      </rPr>
      <t xml:space="preserve">preencha alguma das categorias do item do itens 2.2 no menu inicial </t>
    </r>
  </si>
  <si>
    <t>This questionnaire must be filled out to each supplier plant / When the company supplies more than one product, it must be filled ou to each product.</t>
  </si>
  <si>
    <t xml:space="preserve">Este questionário deve ser preenchido para cada planta fornecedora /fabricante. Quando a empresa fornecer mais de um produto, deve ser enviado um questionário para cada produto fornecido. </t>
  </si>
  <si>
    <r>
      <rPr>
        <b/>
        <sz val="10"/>
        <rFont val="Arial"/>
        <family val="2"/>
      </rPr>
      <t xml:space="preserve">If the company supplies products: </t>
    </r>
    <r>
      <rPr>
        <sz val="10"/>
        <rFont val="Arial"/>
        <family val="2"/>
      </rPr>
      <t>Fill the related category of item 2.1 in the main menu</t>
    </r>
  </si>
  <si>
    <t xml:space="preserve">NOTE: These questions must be filled out by the manufacturer company, these information are not responsibility of the distributor. Therefore the distributor have to send this document to the manufacturer. </t>
  </si>
  <si>
    <r>
      <t xml:space="preserve">If the company supplies a service: </t>
    </r>
    <r>
      <rPr>
        <sz val="10"/>
        <rFont val="Arial"/>
        <family val="2"/>
      </rPr>
      <t>Fill the related category of the item 2.2 in the main menu</t>
    </r>
  </si>
  <si>
    <r>
      <t xml:space="preserve">The supplier will be </t>
    </r>
    <r>
      <rPr>
        <b/>
        <sz val="10"/>
        <rFont val="Arial"/>
        <family val="2"/>
      </rPr>
      <t>APPROVED</t>
    </r>
    <r>
      <rPr>
        <sz val="10"/>
        <rFont val="Arial"/>
        <family val="2"/>
      </rPr>
      <t xml:space="preserve">  through the presentation and evaluation of the requested documents, and product test if applicable. The purchase will only be approved after the complete evaluation. </t>
    </r>
  </si>
  <si>
    <t xml:space="preserve">We are available for any clarification and appreciate the collaboration in advance.  </t>
  </si>
  <si>
    <r>
      <t xml:space="preserve">QUALIFICAÇÃO DE FORNECEDORES
</t>
    </r>
    <r>
      <rPr>
        <b/>
        <sz val="16"/>
        <color indexed="55"/>
        <rFont val="Calibri"/>
        <family val="2"/>
      </rPr>
      <t>SUPPLIER QUALIFICATION</t>
    </r>
  </si>
  <si>
    <t>2.1 FORNECEDORES DE PRODUTOS
2.1 PRODUCT SUPPLIER</t>
  </si>
  <si>
    <t>2.2 FORNECEDORES DE SERVIÇOS
2.2 SERVICE SUPPLIER</t>
  </si>
  <si>
    <r>
      <t xml:space="preserve">QUALIFICAÇÃO DE FORNECEDORES - TRANSPORTADORAS
</t>
    </r>
    <r>
      <rPr>
        <b/>
        <sz val="16"/>
        <color indexed="55"/>
        <rFont val="Calibri"/>
        <family val="2"/>
      </rPr>
      <t>QUALIFICATION OF SUPPLIERS</t>
    </r>
    <r>
      <rPr>
        <b/>
        <sz val="16"/>
        <color indexed="55"/>
        <rFont val="Calibri"/>
        <family val="2"/>
      </rPr>
      <t xml:space="preserve"> - SHIPPING COMPANY</t>
    </r>
  </si>
  <si>
    <t xml:space="preserve">RQ-COR-GQ-13   </t>
  </si>
  <si>
    <t>Para efetuar o preenchimento do formulário em inglês, solicitamos que selecione o botão abaixo./To fill out the form in English, we kindly request that you select the button below.</t>
  </si>
  <si>
    <r>
      <t xml:space="preserve">QUALIFICAÇÃO DE FORNECEDORES - LABORATÓRIO
</t>
    </r>
    <r>
      <rPr>
        <b/>
        <sz val="16"/>
        <color indexed="55"/>
        <rFont val="Calibri"/>
        <family val="2"/>
      </rPr>
      <t>QUALIFICATION OF SUPPLIERS - LABORATORY</t>
    </r>
  </si>
  <si>
    <t>Resposta obrigatória/Required answer:</t>
  </si>
  <si>
    <r>
      <t xml:space="preserve">QUALIFICAÇÃO DE FORNECEDORES - PRODUTO DE LIMPEZA
</t>
    </r>
    <r>
      <rPr>
        <b/>
        <sz val="16"/>
        <color indexed="55"/>
        <rFont val="Calibri"/>
        <family val="2"/>
      </rPr>
      <t>QUALIFICATION OF SUPPLIERS - CLEANING PRODUCT</t>
    </r>
  </si>
  <si>
    <r>
      <t xml:space="preserve">QUALIFICAÇÃO DE FORNECEDORES - ARMAZÉM TERCEIRO
</t>
    </r>
    <r>
      <rPr>
        <b/>
        <sz val="16"/>
        <color indexed="55"/>
        <rFont val="Calibri"/>
        <family val="2"/>
      </rPr>
      <t>QUALIFICATION OF SUPPLIERS</t>
    </r>
    <r>
      <rPr>
        <b/>
        <sz val="16"/>
        <color indexed="23"/>
        <rFont val="Calibri"/>
        <family val="2"/>
      </rPr>
      <t xml:space="preserve"> - WAREHOUSE</t>
    </r>
  </si>
  <si>
    <r>
      <t xml:space="preserve">QUALIFICAÇÃO DE FORNECEDORES - MANUTENÇÃO
</t>
    </r>
    <r>
      <rPr>
        <b/>
        <sz val="16"/>
        <color indexed="55"/>
        <rFont val="Calibri"/>
        <family val="2"/>
      </rPr>
      <t>QUALIFICATION OF SUPPLIERS</t>
    </r>
    <r>
      <rPr>
        <b/>
        <sz val="16"/>
        <color indexed="8"/>
        <rFont val="Calibri"/>
        <family val="2"/>
      </rPr>
      <t xml:space="preserve"> </t>
    </r>
    <r>
      <rPr>
        <b/>
        <sz val="16"/>
        <color indexed="23"/>
        <rFont val="Calibri"/>
        <family val="2"/>
      </rPr>
      <t>- MAINTANANCE</t>
    </r>
  </si>
  <si>
    <r>
      <t xml:space="preserve">QUALIFICAÇÃO DE FORNECEDORES - DESPACHANTE
</t>
    </r>
    <r>
      <rPr>
        <b/>
        <sz val="16"/>
        <color indexed="23"/>
        <rFont val="Calibri"/>
        <family val="2"/>
      </rPr>
      <t>QUALIFICATION OF SUPPLIERS - FORWARDING AGENT</t>
    </r>
  </si>
  <si>
    <r>
      <t xml:space="preserve">QUALIFICAÇÃO DE FORNECEDORES - QUÍMICO
</t>
    </r>
    <r>
      <rPr>
        <b/>
        <sz val="16"/>
        <color indexed="55"/>
        <rFont val="Calibri"/>
        <family val="2"/>
      </rPr>
      <t>QUALIFICATION OF SUPPLIERS</t>
    </r>
    <r>
      <rPr>
        <b/>
        <sz val="16"/>
        <color indexed="55"/>
        <rFont val="Calibri"/>
        <family val="2"/>
      </rPr>
      <t xml:space="preserve"> - CHEMICAL</t>
    </r>
  </si>
  <si>
    <t>FORNECEDORES DE PRODUTO</t>
  </si>
  <si>
    <t>FORNECEDORES DE SERVIÇO</t>
  </si>
  <si>
    <t>MATÉRIA-PRIMA</t>
  </si>
  <si>
    <t>INSUMO</t>
  </si>
  <si>
    <t>PRODUTO QUÍMICO</t>
  </si>
  <si>
    <t>EMBALAGEM PRIMÁRIA</t>
  </si>
  <si>
    <t>EMBALAGEM SECUNDÁRIA</t>
  </si>
  <si>
    <t>PRODUTO DE LIMPEZA</t>
  </si>
  <si>
    <t>EPI</t>
  </si>
  <si>
    <t>FORNECEDOR</t>
  </si>
  <si>
    <t>QUESTIONÁRIO</t>
  </si>
  <si>
    <t>DOCUMENTOS</t>
  </si>
  <si>
    <t>TOTAL</t>
  </si>
  <si>
    <t>DESCARTE DE RESÍDUO</t>
  </si>
  <si>
    <t>MANUTENÇÃO</t>
  </si>
  <si>
    <t>TRANSPORTE</t>
  </si>
  <si>
    <t>AUDITORIA EXTERNA</t>
  </si>
  <si>
    <t>LABORATÓRIO</t>
  </si>
  <si>
    <t>DESPACHANTE</t>
  </si>
  <si>
    <t>ARMAZÉM TERCEIRO</t>
  </si>
  <si>
    <t>CONTROLE DE PRAGAS</t>
  </si>
  <si>
    <t>-</t>
  </si>
  <si>
    <r>
      <t xml:space="preserve">QUALIFICAÇÃO DE FORNECEDORES - CALIBRAÇÃO E QUALIFICAÇÃO DE EQUIPAMENTOS
</t>
    </r>
    <r>
      <rPr>
        <b/>
        <sz val="16"/>
        <color indexed="55"/>
        <rFont val="Calibri"/>
        <family val="2"/>
      </rPr>
      <t>QUALIFICATION OF SUPPLIERS</t>
    </r>
    <r>
      <rPr>
        <b/>
        <sz val="16"/>
        <color indexed="8"/>
        <rFont val="Calibri"/>
        <family val="2"/>
      </rPr>
      <t xml:space="preserve"> </t>
    </r>
    <r>
      <rPr>
        <b/>
        <sz val="16"/>
        <color indexed="23"/>
        <rFont val="Calibri"/>
        <family val="2"/>
      </rPr>
      <t>- QUALIFICATION AND  CALIBRATION OF EQUIPMENT</t>
    </r>
  </si>
  <si>
    <t>CALIBRAÇÃO E QUALIFICAÇÃO DE EQUIPAMENTOS</t>
  </si>
  <si>
    <r>
      <t xml:space="preserve">QUALIFICAÇÃO DE FORNECEDORES - CONTROLE DE PRAGAS
</t>
    </r>
    <r>
      <rPr>
        <b/>
        <sz val="16"/>
        <color indexed="55"/>
        <rFont val="Calibri"/>
        <family val="2"/>
      </rPr>
      <t>QUALIFICATION OF SUPPLIERS</t>
    </r>
    <r>
      <rPr>
        <b/>
        <sz val="16"/>
        <color indexed="55"/>
        <rFont val="Calibri"/>
        <family val="2"/>
      </rPr>
      <t xml:space="preserve"> - PEST CONTROL</t>
    </r>
  </si>
  <si>
    <r>
      <t xml:space="preserve">QUALIFICAÇÃO DE FORNECEDORES - MATERIA-PRIMA (OUTROS)
</t>
    </r>
    <r>
      <rPr>
        <b/>
        <sz val="16"/>
        <color indexed="55"/>
        <rFont val="Calibri"/>
        <family val="2"/>
      </rPr>
      <t>QUALIFICATION OF SUPPLIERS</t>
    </r>
    <r>
      <rPr>
        <b/>
        <sz val="16"/>
        <color indexed="55"/>
        <rFont val="Calibri"/>
        <family val="2"/>
      </rPr>
      <t xml:space="preserve"> - RAW MATERIALS (OTHERS)</t>
    </r>
  </si>
  <si>
    <r>
      <t xml:space="preserve">QUALIFICAÇÃO DE FORNECEDORES - MATERIA-PRIMA (LEVEDURA) E PRODUTOS IMPORTADOS
</t>
    </r>
    <r>
      <rPr>
        <b/>
        <sz val="16"/>
        <color indexed="55"/>
        <rFont val="Calibri"/>
        <family val="2"/>
      </rPr>
      <t>QUALIFICATION OF SUPPLIERS</t>
    </r>
    <r>
      <rPr>
        <b/>
        <sz val="16"/>
        <color indexed="55"/>
        <rFont val="Calibri"/>
        <family val="2"/>
      </rPr>
      <t xml:space="preserve"> - RAW MATERIAL (YEAST) AND IMPORTED PRODUCTS</t>
    </r>
  </si>
  <si>
    <t xml:space="preserve"> FORNECEDORES DE PRODUTOS</t>
  </si>
  <si>
    <t>FORNECEDORES DE SERVIÇOS</t>
  </si>
  <si>
    <t>Revisão 03</t>
  </si>
  <si>
    <t>GS CONTROLE DE VETORES E PRAGAS URBANAS LTDA</t>
  </si>
  <si>
    <t>10.275.122/0001-44</t>
  </si>
  <si>
    <t>RUA GALVANI, Nº 20, VILA NOVA TRIESTE, JARINU/SP</t>
  </si>
  <si>
    <t>ANGELICA FABIANA DE LIMA - CRBiO 120247/01-D</t>
  </si>
  <si>
    <t>PRESTAÇÃO DE SERVIÇOS DE CONTROLE DE PRAGAS</t>
  </si>
  <si>
    <t>x</t>
  </si>
  <si>
    <t xml:space="preserve">Não somos fabricantes </t>
  </si>
  <si>
    <t>Instruções de trabalho relativo as suas atividades.</t>
  </si>
  <si>
    <t>Angelica Fabiana de Lima</t>
  </si>
  <si>
    <t>Responsavel Tecnica</t>
  </si>
</sst>
</file>

<file path=xl/styles.xml><?xml version="1.0" encoding="utf-8"?>
<styleSheet xmlns="http://schemas.openxmlformats.org/spreadsheetml/2006/main" xmlns:mc="http://schemas.openxmlformats.org/markup-compatibility/2006" xmlns:x14ac="http://schemas.microsoft.com/office/spreadsheetml/2009/9/ac" mc:Ignorable="x14ac">
  <fonts count="28" x14ac:knownFonts="1">
    <font>
      <sz val="10"/>
      <name val="Arial"/>
    </font>
    <font>
      <sz val="10"/>
      <name val="Arial"/>
      <family val="2"/>
    </font>
    <font>
      <sz val="10"/>
      <name val="Verdana"/>
      <family val="2"/>
    </font>
    <font>
      <b/>
      <sz val="10"/>
      <name val="Verdana"/>
      <family val="2"/>
    </font>
    <font>
      <sz val="8"/>
      <name val="Verdana"/>
      <family val="2"/>
    </font>
    <font>
      <u/>
      <sz val="10"/>
      <color indexed="12"/>
      <name val="Arial"/>
      <family val="2"/>
    </font>
    <font>
      <sz val="10"/>
      <name val="Arial"/>
      <family val="2"/>
    </font>
    <font>
      <sz val="16"/>
      <color indexed="9"/>
      <name val="Verdana"/>
      <family val="2"/>
    </font>
    <font>
      <b/>
      <sz val="10"/>
      <name val="Arial"/>
      <family val="2"/>
    </font>
    <font>
      <b/>
      <sz val="8"/>
      <name val="Arial"/>
      <family val="2"/>
    </font>
    <font>
      <sz val="8"/>
      <name val="Arial"/>
      <family val="2"/>
    </font>
    <font>
      <b/>
      <sz val="16"/>
      <color indexed="55"/>
      <name val="Calibri"/>
      <family val="2"/>
    </font>
    <font>
      <b/>
      <sz val="12"/>
      <name val="Arial"/>
      <family val="2"/>
    </font>
    <font>
      <sz val="8"/>
      <name val="Arial"/>
      <family val="2"/>
    </font>
    <font>
      <b/>
      <sz val="16"/>
      <color indexed="8"/>
      <name val="Calibri"/>
      <family val="2"/>
    </font>
    <font>
      <b/>
      <sz val="16"/>
      <color indexed="23"/>
      <name val="Calibri"/>
      <family val="2"/>
    </font>
    <font>
      <b/>
      <sz val="12"/>
      <color rgb="FF000000"/>
      <name val="Calibri"/>
      <family val="2"/>
      <scheme val="minor"/>
    </font>
    <font>
      <b/>
      <sz val="11"/>
      <name val="Calibri"/>
      <family val="2"/>
      <scheme val="minor"/>
    </font>
    <font>
      <sz val="10"/>
      <color theme="0" tint="-0.499984740745262"/>
      <name val="Arial"/>
      <family val="2"/>
    </font>
    <font>
      <b/>
      <sz val="10"/>
      <color theme="0"/>
      <name val="Arial"/>
      <family val="2"/>
    </font>
    <font>
      <sz val="10"/>
      <color theme="0"/>
      <name val="Arial"/>
      <family val="2"/>
    </font>
    <font>
      <i/>
      <u/>
      <sz val="11"/>
      <name val="Calibri"/>
      <family val="2"/>
      <scheme val="minor"/>
    </font>
    <font>
      <b/>
      <sz val="12"/>
      <color theme="0"/>
      <name val="Calibri"/>
      <family val="2"/>
      <scheme val="minor"/>
    </font>
    <font>
      <b/>
      <sz val="16"/>
      <color theme="1"/>
      <name val="Calibri"/>
      <family val="2"/>
      <scheme val="minor"/>
    </font>
    <font>
      <b/>
      <sz val="12"/>
      <color theme="1"/>
      <name val="Calibri"/>
      <family val="2"/>
      <scheme val="minor"/>
    </font>
    <font>
      <b/>
      <sz val="12"/>
      <color theme="0"/>
      <name val="Arial"/>
      <family val="2"/>
    </font>
    <font>
      <b/>
      <sz val="12"/>
      <name val="Calibri"/>
      <family val="2"/>
      <scheme val="minor"/>
    </font>
    <font>
      <sz val="8"/>
      <color rgb="FF000000"/>
      <name val="Segoe UI"/>
      <family val="2"/>
    </font>
  </fonts>
  <fills count="10">
    <fill>
      <patternFill patternType="none"/>
    </fill>
    <fill>
      <patternFill patternType="gray125"/>
    </fill>
    <fill>
      <patternFill patternType="solid">
        <fgColor indexed="52"/>
        <bgColor indexed="64"/>
      </patternFill>
    </fill>
    <fill>
      <patternFill patternType="solid">
        <fgColor theme="0"/>
        <bgColor indexed="64"/>
      </patternFill>
    </fill>
    <fill>
      <patternFill patternType="solid">
        <fgColor theme="0" tint="-0.249977111117893"/>
        <bgColor indexed="64"/>
      </patternFill>
    </fill>
    <fill>
      <patternFill patternType="solid">
        <fgColor theme="6" tint="-0.249977111117893"/>
        <bgColor indexed="64"/>
      </patternFill>
    </fill>
    <fill>
      <patternFill patternType="solid">
        <fgColor theme="9" tint="-0.249977111117893"/>
        <bgColor indexed="64"/>
      </patternFill>
    </fill>
    <fill>
      <patternFill patternType="solid">
        <fgColor rgb="FF008000"/>
        <bgColor indexed="64"/>
      </patternFill>
    </fill>
    <fill>
      <patternFill patternType="solid">
        <fgColor theme="6" tint="0.59999389629810485"/>
        <bgColor indexed="64"/>
      </patternFill>
    </fill>
    <fill>
      <patternFill patternType="solid">
        <fgColor theme="9" tint="0.59999389629810485"/>
        <bgColor indexed="64"/>
      </patternFill>
    </fill>
  </fills>
  <borders count="28">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thin">
        <color theme="0" tint="-0.14999847407452621"/>
      </left>
      <right/>
      <top/>
      <bottom/>
      <diagonal/>
    </border>
  </borders>
  <cellStyleXfs count="3">
    <xf numFmtId="0" fontId="0" fillId="0" borderId="0"/>
    <xf numFmtId="0" fontId="5" fillId="0" borderId="0" applyNumberFormat="0" applyFill="0" applyBorder="0" applyAlignment="0" applyProtection="0">
      <alignment vertical="top"/>
      <protection locked="0"/>
    </xf>
    <xf numFmtId="9" fontId="1" fillId="0" borderId="0" applyFont="0" applyFill="0" applyBorder="0" applyAlignment="0" applyProtection="0"/>
  </cellStyleXfs>
  <cellXfs count="277">
    <xf numFmtId="0" fontId="0" fillId="0" borderId="0" xfId="0"/>
    <xf numFmtId="0" fontId="2" fillId="0" borderId="0" xfId="0" applyFont="1"/>
    <xf numFmtId="0" fontId="6" fillId="0" borderId="0" xfId="0" applyFont="1" applyAlignment="1">
      <alignment horizontal="left" vertical="center"/>
    </xf>
    <xf numFmtId="0" fontId="4" fillId="0" borderId="0" xfId="0" applyFont="1"/>
    <xf numFmtId="0" fontId="4" fillId="0" borderId="0" xfId="0" applyFont="1" applyAlignment="1">
      <alignment horizontal="center"/>
    </xf>
    <xf numFmtId="0" fontId="3" fillId="0" borderId="0" xfId="0" applyFont="1"/>
    <xf numFmtId="0" fontId="4" fillId="0" borderId="0" xfId="0" applyFont="1" applyAlignment="1">
      <alignment horizontal="left" wrapText="1"/>
    </xf>
    <xf numFmtId="0" fontId="2" fillId="0" borderId="0" xfId="0" applyFont="1" applyAlignment="1">
      <alignment horizontal="center"/>
    </xf>
    <xf numFmtId="0" fontId="4" fillId="0" borderId="0" xfId="0" quotePrefix="1" applyFont="1" applyAlignment="1">
      <alignment horizontal="left" wrapText="1"/>
    </xf>
    <xf numFmtId="0" fontId="4" fillId="0" borderId="0" xfId="0" quotePrefix="1" applyFont="1"/>
    <xf numFmtId="0" fontId="6" fillId="0" borderId="0" xfId="0" applyFont="1"/>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8" fillId="0" borderId="0" xfId="0" applyFont="1"/>
    <xf numFmtId="0" fontId="16" fillId="3" borderId="0" xfId="0" applyFont="1" applyFill="1" applyAlignment="1">
      <alignment horizontal="center" vertical="center" wrapText="1"/>
    </xf>
    <xf numFmtId="0" fontId="6" fillId="0" borderId="0" xfId="0" applyFont="1" applyAlignment="1">
      <alignment horizontal="center"/>
    </xf>
    <xf numFmtId="0" fontId="6" fillId="0" borderId="6" xfId="0" applyFont="1" applyBorder="1"/>
    <xf numFmtId="0" fontId="6" fillId="0" borderId="7" xfId="0" applyFont="1" applyBorder="1"/>
    <xf numFmtId="0" fontId="0" fillId="0" borderId="7" xfId="0" applyBorder="1"/>
    <xf numFmtId="0" fontId="0" fillId="0" borderId="8" xfId="0" applyBorder="1"/>
    <xf numFmtId="0" fontId="6" fillId="0" borderId="9" xfId="0" applyFont="1" applyBorder="1"/>
    <xf numFmtId="0" fontId="0" fillId="0" borderId="10" xfId="0" applyBorder="1"/>
    <xf numFmtId="0" fontId="17" fillId="0" borderId="9" xfId="0" applyFont="1" applyBorder="1" applyAlignment="1">
      <alignment horizontal="right"/>
    </xf>
    <xf numFmtId="0" fontId="6" fillId="0" borderId="10" xfId="0" applyFont="1" applyBorder="1" applyAlignment="1">
      <alignment horizontal="center"/>
    </xf>
    <xf numFmtId="0" fontId="6" fillId="0" borderId="10" xfId="0" applyFont="1" applyBorder="1" applyAlignment="1">
      <alignment horizontal="left"/>
    </xf>
    <xf numFmtId="0" fontId="8" fillId="0" borderId="11" xfId="0" applyFont="1" applyBorder="1"/>
    <xf numFmtId="0" fontId="8" fillId="0" borderId="12" xfId="0" applyFont="1" applyBorder="1"/>
    <xf numFmtId="0" fontId="0" fillId="0" borderId="12" xfId="0" applyBorder="1"/>
    <xf numFmtId="0" fontId="0" fillId="0" borderId="13" xfId="0" applyBorder="1"/>
    <xf numFmtId="0" fontId="6" fillId="0" borderId="0" xfId="0" applyFont="1" applyAlignment="1">
      <alignment wrapText="1"/>
    </xf>
    <xf numFmtId="0" fontId="8" fillId="0" borderId="6" xfId="0" applyFont="1" applyBorder="1"/>
    <xf numFmtId="0" fontId="8" fillId="0" borderId="7" xfId="0" applyFont="1" applyBorder="1"/>
    <xf numFmtId="0" fontId="8" fillId="0" borderId="9" xfId="0" applyFont="1" applyBorder="1"/>
    <xf numFmtId="0" fontId="0" fillId="0" borderId="9" xfId="0" applyBorder="1"/>
    <xf numFmtId="0" fontId="6" fillId="0" borderId="9" xfId="0" applyFont="1" applyBorder="1" applyAlignment="1">
      <alignment wrapText="1"/>
    </xf>
    <xf numFmtId="0" fontId="6" fillId="0" borderId="10" xfId="0" applyFont="1" applyBorder="1" applyAlignment="1">
      <alignment wrapText="1"/>
    </xf>
    <xf numFmtId="0" fontId="0" fillId="0" borderId="11" xfId="0" applyBorder="1"/>
    <xf numFmtId="0" fontId="18" fillId="0" borderId="0" xfId="0" applyFont="1"/>
    <xf numFmtId="0" fontId="0" fillId="0" borderId="6" xfId="0" applyBorder="1"/>
    <xf numFmtId="0" fontId="18" fillId="0" borderId="7" xfId="0" applyFont="1" applyBorder="1"/>
    <xf numFmtId="0" fontId="18" fillId="0" borderId="8" xfId="0" applyFont="1" applyBorder="1"/>
    <xf numFmtId="0" fontId="8" fillId="4" borderId="14" xfId="0" applyFont="1" applyFill="1" applyBorder="1" applyAlignment="1">
      <alignment horizontal="center"/>
    </xf>
    <xf numFmtId="0" fontId="6" fillId="0" borderId="14" xfId="0" applyFont="1" applyBorder="1" applyAlignment="1">
      <alignment horizontal="center" vertical="center" wrapText="1"/>
    </xf>
    <xf numFmtId="0" fontId="19" fillId="5" borderId="14" xfId="0" applyFont="1" applyFill="1" applyBorder="1" applyAlignment="1">
      <alignment horizontal="center" vertical="center"/>
    </xf>
    <xf numFmtId="0" fontId="19" fillId="6" borderId="14" xfId="0" applyFont="1" applyFill="1" applyBorder="1" applyAlignment="1">
      <alignment horizontal="center" vertical="center"/>
    </xf>
    <xf numFmtId="0" fontId="0" fillId="0" borderId="0" xfId="0" applyAlignment="1">
      <alignment horizontal="center"/>
    </xf>
    <xf numFmtId="0" fontId="0" fillId="0" borderId="0" xfId="0" applyAlignment="1">
      <alignment wrapText="1"/>
    </xf>
    <xf numFmtId="0" fontId="6" fillId="0" borderId="7" xfId="0" applyFont="1" applyBorder="1" applyAlignment="1">
      <alignment wrapText="1"/>
    </xf>
    <xf numFmtId="0" fontId="0" fillId="0" borderId="7" xfId="0" applyBorder="1" applyAlignment="1">
      <alignment wrapText="1"/>
    </xf>
    <xf numFmtId="0" fontId="8" fillId="0" borderId="12" xfId="0" applyFont="1" applyBorder="1" applyAlignment="1">
      <alignment wrapText="1"/>
    </xf>
    <xf numFmtId="0" fontId="0" fillId="0" borderId="12" xfId="0" applyBorder="1" applyAlignment="1">
      <alignment wrapText="1"/>
    </xf>
    <xf numFmtId="0" fontId="8" fillId="0" borderId="0" xfId="0" applyFont="1" applyAlignment="1">
      <alignment wrapText="1"/>
    </xf>
    <xf numFmtId="0" fontId="8" fillId="0" borderId="7" xfId="0" applyFont="1" applyBorder="1" applyAlignment="1">
      <alignment wrapText="1"/>
    </xf>
    <xf numFmtId="0" fontId="18" fillId="0" borderId="7" xfId="0" applyFont="1" applyBorder="1" applyAlignment="1">
      <alignment wrapText="1"/>
    </xf>
    <xf numFmtId="0" fontId="6" fillId="0" borderId="10" xfId="0" applyFont="1" applyBorder="1"/>
    <xf numFmtId="0" fontId="8" fillId="0" borderId="9" xfId="0" applyFont="1" applyBorder="1" applyAlignment="1">
      <alignment vertical="center" wrapText="1"/>
    </xf>
    <xf numFmtId="0" fontId="8" fillId="0" borderId="10" xfId="0" applyFont="1" applyBorder="1"/>
    <xf numFmtId="0" fontId="0" fillId="0" borderId="14" xfId="0" applyBorder="1" applyAlignment="1">
      <alignment horizontal="center" vertical="center"/>
    </xf>
    <xf numFmtId="0" fontId="17" fillId="0" borderId="0" xfId="0" applyFont="1" applyAlignment="1">
      <alignment horizontal="center" wrapText="1"/>
    </xf>
    <xf numFmtId="0" fontId="0" fillId="0" borderId="9" xfId="0" applyBorder="1" applyAlignment="1">
      <alignment horizontal="center" vertical="center"/>
    </xf>
    <xf numFmtId="0" fontId="6" fillId="0" borderId="0" xfId="0" applyFont="1" applyAlignment="1">
      <alignment horizontal="center" vertical="center" wrapText="1"/>
    </xf>
    <xf numFmtId="0" fontId="0" fillId="0" borderId="10" xfId="0" applyBorder="1" applyAlignment="1">
      <alignment horizontal="center"/>
    </xf>
    <xf numFmtId="0" fontId="8" fillId="0" borderId="14" xfId="0" applyFont="1" applyBorder="1" applyAlignment="1">
      <alignment horizontal="right" wrapText="1"/>
    </xf>
    <xf numFmtId="0" fontId="6" fillId="0" borderId="0" xfId="0" applyFont="1" applyAlignment="1">
      <alignment horizontal="center" vertical="center"/>
    </xf>
    <xf numFmtId="0" fontId="0" fillId="0" borderId="0" xfId="0" applyAlignment="1">
      <alignment horizontal="center" vertical="center"/>
    </xf>
    <xf numFmtId="0" fontId="6" fillId="0" borderId="7" xfId="0" applyFont="1" applyBorder="1" applyAlignment="1">
      <alignment horizontal="center" vertical="center"/>
    </xf>
    <xf numFmtId="0" fontId="0" fillId="0" borderId="7" xfId="0" applyBorder="1" applyAlignment="1">
      <alignment horizontal="center" vertical="center"/>
    </xf>
    <xf numFmtId="0" fontId="8" fillId="0" borderId="12" xfId="0" applyFont="1" applyBorder="1" applyAlignment="1">
      <alignment horizontal="center" vertical="center"/>
    </xf>
    <xf numFmtId="0" fontId="0" fillId="0" borderId="12" xfId="0" applyBorder="1" applyAlignment="1">
      <alignment horizontal="center" vertical="center"/>
    </xf>
    <xf numFmtId="0" fontId="8" fillId="0" borderId="0" xfId="0" applyFont="1" applyAlignment="1">
      <alignment horizontal="center" vertical="center"/>
    </xf>
    <xf numFmtId="0" fontId="8" fillId="0" borderId="7" xfId="0" applyFont="1" applyBorder="1" applyAlignment="1">
      <alignment horizontal="center" vertical="center"/>
    </xf>
    <xf numFmtId="0" fontId="17" fillId="0" borderId="0" xfId="0" applyFont="1" applyAlignment="1">
      <alignment horizontal="center" vertical="center" wrapText="1"/>
    </xf>
    <xf numFmtId="0" fontId="18" fillId="0" borderId="7" xfId="0" applyFont="1" applyBorder="1" applyAlignment="1">
      <alignment horizontal="center" vertical="center"/>
    </xf>
    <xf numFmtId="0" fontId="0" fillId="0" borderId="0" xfId="0" applyAlignment="1">
      <alignment horizontal="center" vertical="center" wrapText="1"/>
    </xf>
    <xf numFmtId="0" fontId="6" fillId="0" borderId="0" xfId="0" applyFont="1" applyAlignment="1">
      <alignment horizontal="center" wrapText="1"/>
    </xf>
    <xf numFmtId="0" fontId="6" fillId="0" borderId="7" xfId="0" applyFont="1" applyBorder="1" applyAlignment="1">
      <alignment horizontal="center" wrapText="1"/>
    </xf>
    <xf numFmtId="0" fontId="8" fillId="0" borderId="12" xfId="0" applyFont="1" applyBorder="1" applyAlignment="1">
      <alignment horizontal="center" wrapText="1"/>
    </xf>
    <xf numFmtId="0" fontId="8" fillId="0" borderId="0" xfId="0" applyFont="1" applyAlignment="1">
      <alignment horizontal="center" wrapText="1"/>
    </xf>
    <xf numFmtId="0" fontId="8" fillId="0" borderId="7" xfId="0" applyFont="1" applyBorder="1" applyAlignment="1">
      <alignment horizontal="center" wrapText="1"/>
    </xf>
    <xf numFmtId="0" fontId="0" fillId="0" borderId="0" xfId="0" applyAlignment="1">
      <alignment horizontal="center" wrapText="1"/>
    </xf>
    <xf numFmtId="0" fontId="0" fillId="0" borderId="7" xfId="0" applyBorder="1" applyAlignment="1">
      <alignment horizontal="center" wrapText="1"/>
    </xf>
    <xf numFmtId="0" fontId="0" fillId="0" borderId="12" xfId="0" applyBorder="1" applyAlignment="1">
      <alignment horizontal="center" wrapText="1"/>
    </xf>
    <xf numFmtId="0" fontId="0" fillId="0" borderId="12" xfId="0" applyBorder="1" applyAlignment="1">
      <alignment horizontal="center"/>
    </xf>
    <xf numFmtId="0" fontId="8" fillId="0" borderId="7" xfId="0" applyFont="1" applyBorder="1" applyAlignment="1">
      <alignment horizontal="center" vertical="center" wrapText="1"/>
    </xf>
    <xf numFmtId="0" fontId="0" fillId="0" borderId="6" xfId="0" applyBorder="1" applyAlignment="1">
      <alignment horizontal="center"/>
    </xf>
    <xf numFmtId="0" fontId="0" fillId="0" borderId="9" xfId="0" applyBorder="1" applyAlignment="1">
      <alignment horizontal="center"/>
    </xf>
    <xf numFmtId="0" fontId="0" fillId="0" borderId="11" xfId="0" applyBorder="1" applyAlignment="1">
      <alignment horizontal="center" vertical="center"/>
    </xf>
    <xf numFmtId="0" fontId="0" fillId="0" borderId="13"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7" xfId="0" applyBorder="1" applyAlignment="1">
      <alignment horizontal="center" vertical="center"/>
    </xf>
    <xf numFmtId="0" fontId="6" fillId="0" borderId="16" xfId="0" applyFont="1" applyBorder="1" applyAlignment="1">
      <alignment horizontal="center" vertical="center" wrapText="1"/>
    </xf>
    <xf numFmtId="0" fontId="0" fillId="0" borderId="16" xfId="0" applyBorder="1" applyAlignment="1">
      <alignment horizontal="center" vertical="center"/>
    </xf>
    <xf numFmtId="0" fontId="0" fillId="0" borderId="11" xfId="0" applyBorder="1" applyAlignment="1">
      <alignment horizontal="center"/>
    </xf>
    <xf numFmtId="0" fontId="0" fillId="0" borderId="15" xfId="0" applyBorder="1" applyAlignment="1">
      <alignment horizontal="center" vertical="center"/>
    </xf>
    <xf numFmtId="0" fontId="6" fillId="0" borderId="16" xfId="0" applyFont="1" applyBorder="1" applyAlignment="1">
      <alignment horizontal="center" vertical="center"/>
    </xf>
    <xf numFmtId="0" fontId="0" fillId="0" borderId="14" xfId="0" applyBorder="1" applyAlignment="1">
      <alignment horizontal="center" vertical="center" wrapText="1"/>
    </xf>
    <xf numFmtId="0" fontId="0" fillId="0" borderId="14" xfId="0" applyBorder="1" applyAlignment="1">
      <alignment horizontal="center" wrapText="1"/>
    </xf>
    <xf numFmtId="0" fontId="6" fillId="0" borderId="6" xfId="0" applyFont="1" applyBorder="1" applyAlignment="1">
      <alignment horizontal="center"/>
    </xf>
    <xf numFmtId="0" fontId="6" fillId="0" borderId="9" xfId="0" applyFont="1" applyBorder="1" applyAlignment="1">
      <alignment horizontal="center"/>
    </xf>
    <xf numFmtId="0" fontId="8" fillId="0" borderId="0" xfId="0" applyFont="1" applyAlignment="1">
      <alignment horizontal="center"/>
    </xf>
    <xf numFmtId="0" fontId="8" fillId="0" borderId="6" xfId="0" applyFont="1" applyBorder="1" applyAlignment="1">
      <alignment horizontal="center"/>
    </xf>
    <xf numFmtId="0" fontId="8" fillId="0" borderId="9" xfId="0" applyFont="1" applyBorder="1" applyAlignment="1">
      <alignment horizontal="center"/>
    </xf>
    <xf numFmtId="0" fontId="6" fillId="0" borderId="9" xfId="0" applyFont="1" applyBorder="1" applyAlignment="1">
      <alignment horizontal="center" wrapText="1"/>
    </xf>
    <xf numFmtId="0" fontId="6" fillId="0" borderId="14" xfId="0" applyFont="1" applyBorder="1" applyAlignment="1">
      <alignment horizontal="left" vertical="center" wrapText="1"/>
    </xf>
    <xf numFmtId="0" fontId="8" fillId="0" borderId="14" xfId="0" applyFont="1" applyBorder="1" applyAlignment="1">
      <alignment vertical="center"/>
    </xf>
    <xf numFmtId="0" fontId="8" fillId="0" borderId="14" xfId="0" applyFont="1" applyBorder="1" applyAlignment="1">
      <alignment vertical="center" wrapText="1"/>
    </xf>
    <xf numFmtId="0" fontId="8" fillId="0" borderId="0" xfId="0" applyFont="1" applyAlignment="1">
      <alignment horizontal="center" vertical="center" wrapText="1"/>
    </xf>
    <xf numFmtId="0" fontId="6" fillId="0" borderId="0" xfId="0" applyFont="1" applyAlignment="1">
      <alignment horizontal="right"/>
    </xf>
    <xf numFmtId="0" fontId="17" fillId="0" borderId="9" xfId="0" applyFont="1" applyBorder="1" applyAlignment="1">
      <alignment horizontal="right" wrapText="1"/>
    </xf>
    <xf numFmtId="0" fontId="8" fillId="4" borderId="14" xfId="0" applyFont="1" applyFill="1" applyBorder="1" applyAlignment="1">
      <alignment horizontal="center" vertical="center" wrapText="1"/>
    </xf>
    <xf numFmtId="0" fontId="8" fillId="4" borderId="14" xfId="0" applyFont="1" applyFill="1" applyBorder="1" applyAlignment="1">
      <alignment horizontal="center" vertical="center"/>
    </xf>
    <xf numFmtId="0" fontId="9" fillId="0" borderId="27" xfId="0" applyFont="1" applyBorder="1" applyAlignment="1">
      <alignment horizontal="center" vertical="center" wrapText="1"/>
    </xf>
    <xf numFmtId="0" fontId="0" fillId="3" borderId="14" xfId="0" applyFill="1" applyBorder="1" applyAlignment="1">
      <alignment horizontal="center" vertical="center"/>
    </xf>
    <xf numFmtId="0" fontId="0" fillId="3" borderId="14" xfId="0" applyFill="1" applyBorder="1" applyAlignment="1">
      <alignment horizontal="center" vertical="center" wrapText="1"/>
    </xf>
    <xf numFmtId="0" fontId="6" fillId="0" borderId="6" xfId="0" applyFont="1" applyBorder="1" applyAlignment="1">
      <alignment horizontal="center" vertical="center"/>
    </xf>
    <xf numFmtId="0" fontId="6" fillId="0" borderId="9" xfId="0" applyFont="1" applyBorder="1" applyAlignment="1">
      <alignment horizontal="center" vertical="center"/>
    </xf>
    <xf numFmtId="0" fontId="17" fillId="0" borderId="9" xfId="0" applyFont="1" applyBorder="1" applyAlignment="1">
      <alignment horizontal="center" vertical="center"/>
    </xf>
    <xf numFmtId="0" fontId="8" fillId="0" borderId="9" xfId="0" applyFont="1" applyBorder="1" applyAlignment="1">
      <alignment horizontal="center" vertical="center"/>
    </xf>
    <xf numFmtId="0" fontId="8" fillId="0" borderId="6" xfId="0" applyFont="1" applyBorder="1" applyAlignment="1">
      <alignment horizontal="center" vertical="center"/>
    </xf>
    <xf numFmtId="0" fontId="6" fillId="0" borderId="9" xfId="0" applyFont="1" applyBorder="1" applyAlignment="1">
      <alignment horizontal="center" vertical="center" wrapText="1"/>
    </xf>
    <xf numFmtId="0" fontId="0" fillId="0" borderId="6" xfId="0" applyBorder="1" applyAlignment="1">
      <alignment horizontal="center" vertical="center"/>
    </xf>
    <xf numFmtId="0" fontId="8" fillId="0" borderId="14" xfId="0" applyFont="1" applyBorder="1" applyAlignment="1">
      <alignment horizontal="right" vertical="center" wrapText="1"/>
    </xf>
    <xf numFmtId="9" fontId="0" fillId="0" borderId="14" xfId="0" applyNumberFormat="1" applyBorder="1" applyAlignment="1">
      <alignment horizontal="center" vertical="center"/>
    </xf>
    <xf numFmtId="0" fontId="0" fillId="0" borderId="14" xfId="0" applyBorder="1" applyAlignment="1" applyProtection="1">
      <alignment horizontal="center" vertical="center"/>
      <protection locked="0"/>
    </xf>
    <xf numFmtId="0" fontId="20" fillId="0" borderId="0" xfId="0" applyFont="1" applyProtection="1">
      <protection locked="0"/>
    </xf>
    <xf numFmtId="0" fontId="0" fillId="0" borderId="14" xfId="0" applyBorder="1" applyProtection="1">
      <protection locked="0"/>
    </xf>
    <xf numFmtId="0" fontId="6" fillId="0" borderId="14" xfId="0" applyFont="1" applyBorder="1" applyAlignment="1" applyProtection="1">
      <alignment horizontal="center" vertical="center"/>
      <protection locked="0"/>
    </xf>
    <xf numFmtId="0" fontId="8" fillId="0" borderId="12" xfId="0" applyFont="1" applyBorder="1" applyAlignment="1" applyProtection="1">
      <alignment horizontal="center"/>
      <protection locked="0"/>
    </xf>
    <xf numFmtId="0" fontId="0" fillId="0" borderId="14" xfId="0" applyBorder="1" applyAlignment="1" applyProtection="1">
      <alignment vertical="center"/>
      <protection locked="0"/>
    </xf>
    <xf numFmtId="0" fontId="21" fillId="3" borderId="15" xfId="0" applyFont="1" applyFill="1" applyBorder="1" applyAlignment="1" applyProtection="1">
      <alignment vertical="center" wrapText="1"/>
      <protection locked="0"/>
    </xf>
    <xf numFmtId="0" fontId="8" fillId="3" borderId="0" xfId="0" applyFont="1" applyFill="1" applyAlignment="1">
      <alignment horizontal="center" wrapText="1"/>
    </xf>
    <xf numFmtId="0" fontId="8" fillId="3" borderId="12" xfId="0" applyFont="1" applyFill="1" applyBorder="1" applyAlignment="1">
      <alignment horizontal="center" wrapText="1"/>
    </xf>
    <xf numFmtId="0" fontId="22" fillId="7" borderId="18" xfId="0" applyFont="1" applyFill="1" applyBorder="1" applyAlignment="1">
      <alignment horizontal="center" vertical="center" wrapText="1"/>
    </xf>
    <xf numFmtId="0" fontId="22" fillId="7" borderId="19" xfId="0" applyFont="1" applyFill="1" applyBorder="1" applyAlignment="1">
      <alignment horizontal="center" vertical="center"/>
    </xf>
    <xf numFmtId="0" fontId="22" fillId="7" borderId="20" xfId="0" applyFont="1" applyFill="1" applyBorder="1" applyAlignment="1">
      <alignment horizontal="center" vertical="center"/>
    </xf>
    <xf numFmtId="0" fontId="0" fillId="0" borderId="0" xfId="0" applyAlignment="1">
      <alignment horizontal="center"/>
    </xf>
    <xf numFmtId="0" fontId="0" fillId="0" borderId="4" xfId="0" applyBorder="1" applyAlignment="1">
      <alignment horizontal="center"/>
    </xf>
    <xf numFmtId="0" fontId="23" fillId="0" borderId="21" xfId="0" applyFont="1" applyBorder="1" applyAlignment="1">
      <alignment horizontal="center" vertical="center" wrapText="1"/>
    </xf>
    <xf numFmtId="0" fontId="23" fillId="0" borderId="22" xfId="0" applyFont="1" applyBorder="1" applyAlignment="1">
      <alignment horizontal="center" vertical="center" wrapText="1"/>
    </xf>
    <xf numFmtId="0" fontId="23" fillId="0" borderId="23" xfId="0" applyFont="1" applyBorder="1" applyAlignment="1">
      <alignment horizontal="center" vertical="center" wrapText="1"/>
    </xf>
    <xf numFmtId="0" fontId="16" fillId="8" borderId="18" xfId="0" applyFont="1" applyFill="1" applyBorder="1" applyAlignment="1">
      <alignment horizontal="center" vertical="center" wrapText="1"/>
    </xf>
    <xf numFmtId="0" fontId="16" fillId="8" borderId="19" xfId="0" applyFont="1" applyFill="1" applyBorder="1" applyAlignment="1">
      <alignment horizontal="center" vertical="center" wrapText="1"/>
    </xf>
    <xf numFmtId="0" fontId="16" fillId="8" borderId="20" xfId="0" applyFont="1" applyFill="1" applyBorder="1" applyAlignment="1">
      <alignment horizontal="center" vertical="center" wrapText="1"/>
    </xf>
    <xf numFmtId="0" fontId="24" fillId="0" borderId="21" xfId="0" applyFont="1" applyBorder="1" applyAlignment="1">
      <alignment horizontal="center" vertical="center" wrapText="1"/>
    </xf>
    <xf numFmtId="0" fontId="24" fillId="0" borderId="22" xfId="0" applyFont="1" applyBorder="1" applyAlignment="1">
      <alignment horizontal="center" vertical="center" wrapText="1"/>
    </xf>
    <xf numFmtId="0" fontId="24" fillId="0" borderId="23" xfId="0" applyFont="1" applyBorder="1" applyAlignment="1">
      <alignment horizontal="center" vertical="center" wrapText="1"/>
    </xf>
    <xf numFmtId="0" fontId="18" fillId="0" borderId="0" xfId="0" applyFont="1" applyAlignment="1">
      <alignment horizontal="center"/>
    </xf>
    <xf numFmtId="0" fontId="10" fillId="0" borderId="0" xfId="0" applyFont="1" applyAlignment="1">
      <alignment horizontal="left" wrapText="1"/>
    </xf>
    <xf numFmtId="0" fontId="8" fillId="0" borderId="0" xfId="0" applyFont="1" applyAlignment="1">
      <alignment horizontal="left"/>
    </xf>
    <xf numFmtId="0" fontId="6" fillId="0" borderId="0" xfId="0" applyFont="1" applyAlignment="1">
      <alignment horizontal="left" wrapText="1"/>
    </xf>
    <xf numFmtId="0" fontId="6" fillId="0" borderId="0" xfId="0" applyFont="1" applyAlignment="1">
      <alignment horizontal="center"/>
    </xf>
    <xf numFmtId="0" fontId="6" fillId="0" borderId="0" xfId="0" applyFont="1" applyAlignment="1">
      <alignment horizontal="left" vertical="center" wrapText="1"/>
    </xf>
    <xf numFmtId="0" fontId="6" fillId="0" borderId="0" xfId="0" applyFont="1" applyAlignment="1">
      <alignment horizontal="left"/>
    </xf>
    <xf numFmtId="0" fontId="10" fillId="0" borderId="0" xfId="0" applyFont="1" applyAlignment="1">
      <alignment horizontal="left" vertical="center" wrapText="1"/>
    </xf>
    <xf numFmtId="0" fontId="8" fillId="0" borderId="0" xfId="0" applyFont="1" applyAlignment="1">
      <alignment horizontal="left" vertical="top" wrapText="1"/>
    </xf>
    <xf numFmtId="0" fontId="23" fillId="0" borderId="0" xfId="0" applyFont="1" applyAlignment="1">
      <alignment horizontal="center" vertical="center" wrapText="1"/>
    </xf>
    <xf numFmtId="0" fontId="23" fillId="0" borderId="2" xfId="0" applyFont="1" applyBorder="1" applyAlignment="1">
      <alignment horizontal="center" vertical="center" wrapText="1"/>
    </xf>
    <xf numFmtId="0" fontId="23" fillId="0" borderId="4" xfId="0" applyFont="1" applyBorder="1" applyAlignment="1">
      <alignment horizontal="center" vertical="center" wrapText="1"/>
    </xf>
    <xf numFmtId="0" fontId="23" fillId="0" borderId="5" xfId="0" applyFont="1" applyBorder="1" applyAlignment="1">
      <alignment horizontal="center" vertical="center" wrapText="1"/>
    </xf>
    <xf numFmtId="0" fontId="0" fillId="0" borderId="0" xfId="0" applyAlignment="1">
      <alignment horizontal="left" wrapText="1"/>
    </xf>
    <xf numFmtId="0" fontId="8" fillId="0" borderId="9" xfId="0" applyFont="1" applyBorder="1" applyAlignment="1">
      <alignment horizontal="right"/>
    </xf>
    <xf numFmtId="0" fontId="8" fillId="0" borderId="0" xfId="0" applyFont="1" applyAlignment="1">
      <alignment horizontal="right"/>
    </xf>
    <xf numFmtId="0" fontId="0" fillId="0" borderId="14" xfId="0" applyBorder="1" applyAlignment="1" applyProtection="1">
      <alignment horizontal="center"/>
      <protection locked="0"/>
    </xf>
    <xf numFmtId="0" fontId="25" fillId="6" borderId="17" xfId="0" applyFont="1" applyFill="1" applyBorder="1" applyAlignment="1">
      <alignment horizontal="center" vertical="center"/>
    </xf>
    <xf numFmtId="0" fontId="25" fillId="6" borderId="16" xfId="0" applyFont="1" applyFill="1" applyBorder="1" applyAlignment="1">
      <alignment horizontal="center" vertical="center"/>
    </xf>
    <xf numFmtId="0" fontId="25" fillId="6" borderId="15" xfId="0" applyFont="1" applyFill="1" applyBorder="1" applyAlignment="1">
      <alignment horizontal="center" vertical="center"/>
    </xf>
    <xf numFmtId="0" fontId="8" fillId="4" borderId="17" xfId="0" applyFont="1" applyFill="1" applyBorder="1" applyAlignment="1">
      <alignment horizontal="center" vertical="center" wrapText="1"/>
    </xf>
    <xf numFmtId="0" fontId="8" fillId="4" borderId="15" xfId="0" applyFont="1" applyFill="1" applyBorder="1" applyAlignment="1">
      <alignment horizontal="center" vertical="center" wrapText="1"/>
    </xf>
    <xf numFmtId="0" fontId="8" fillId="4" borderId="17" xfId="0" applyFont="1" applyFill="1" applyBorder="1" applyAlignment="1">
      <alignment horizontal="center" vertical="center"/>
    </xf>
    <xf numFmtId="0" fontId="8" fillId="4" borderId="15" xfId="0" applyFont="1" applyFill="1" applyBorder="1" applyAlignment="1">
      <alignment horizontal="center" vertical="center"/>
    </xf>
    <xf numFmtId="0" fontId="8" fillId="0" borderId="16" xfId="0" applyFont="1" applyBorder="1" applyAlignment="1" applyProtection="1">
      <alignment horizontal="center"/>
      <protection locked="0"/>
    </xf>
    <xf numFmtId="0" fontId="8" fillId="0" borderId="7" xfId="0" applyFont="1" applyBorder="1" applyAlignment="1">
      <alignment horizontal="center"/>
    </xf>
    <xf numFmtId="0" fontId="0" fillId="0" borderId="7" xfId="0" applyBorder="1" applyAlignment="1">
      <alignment horizontal="center"/>
    </xf>
    <xf numFmtId="0" fontId="8" fillId="0" borderId="0" xfId="0" applyFont="1" applyAlignment="1">
      <alignment horizontal="center" wrapText="1"/>
    </xf>
    <xf numFmtId="0" fontId="6" fillId="3" borderId="17" xfId="0" applyFont="1" applyFill="1" applyBorder="1" applyAlignment="1">
      <alignment horizontal="center" wrapText="1"/>
    </xf>
    <xf numFmtId="0" fontId="6" fillId="3" borderId="16" xfId="0" applyFont="1" applyFill="1" applyBorder="1" applyAlignment="1">
      <alignment horizontal="center" wrapText="1"/>
    </xf>
    <xf numFmtId="0" fontId="6" fillId="3" borderId="15" xfId="0" applyFont="1" applyFill="1" applyBorder="1" applyAlignment="1">
      <alignment horizontal="center" wrapText="1"/>
    </xf>
    <xf numFmtId="0" fontId="0" fillId="0" borderId="12" xfId="0" applyBorder="1" applyAlignment="1" applyProtection="1">
      <alignment horizontal="center"/>
      <protection locked="0"/>
    </xf>
    <xf numFmtId="0" fontId="8" fillId="0" borderId="14" xfId="0" applyFont="1" applyBorder="1" applyAlignment="1" applyProtection="1">
      <alignment vertical="center"/>
      <protection locked="0"/>
    </xf>
    <xf numFmtId="0" fontId="8" fillId="0" borderId="17" xfId="0" applyFont="1" applyBorder="1" applyAlignment="1">
      <alignment horizontal="center" vertical="center"/>
    </xf>
    <xf numFmtId="0" fontId="8" fillId="0" borderId="16" xfId="0" applyFont="1" applyBorder="1" applyAlignment="1">
      <alignment horizontal="center" vertical="center"/>
    </xf>
    <xf numFmtId="0" fontId="8" fillId="0" borderId="15" xfId="0" applyFont="1" applyBorder="1" applyAlignment="1">
      <alignment horizontal="center" vertical="center"/>
    </xf>
    <xf numFmtId="0" fontId="8" fillId="0" borderId="14" xfId="0" applyFont="1" applyBorder="1" applyAlignment="1">
      <alignment vertical="center"/>
    </xf>
    <xf numFmtId="0" fontId="8" fillId="4" borderId="17" xfId="0" applyFont="1" applyFill="1" applyBorder="1" applyAlignment="1">
      <alignment horizontal="center"/>
    </xf>
    <xf numFmtId="0" fontId="8" fillId="4" borderId="16" xfId="0" applyFont="1" applyFill="1" applyBorder="1" applyAlignment="1">
      <alignment horizontal="center"/>
    </xf>
    <xf numFmtId="0" fontId="8" fillId="4" borderId="15" xfId="0" applyFont="1" applyFill="1" applyBorder="1" applyAlignment="1">
      <alignment horizontal="center"/>
    </xf>
    <xf numFmtId="0" fontId="26" fillId="0" borderId="21" xfId="0" applyFont="1" applyBorder="1" applyAlignment="1">
      <alignment horizontal="center" vertical="center" wrapText="1"/>
    </xf>
    <xf numFmtId="0" fontId="26" fillId="0" borderId="22" xfId="0" applyFont="1" applyBorder="1" applyAlignment="1">
      <alignment horizontal="center" vertical="center" wrapText="1"/>
    </xf>
    <xf numFmtId="0" fontId="26" fillId="0" borderId="23"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3" xfId="0" applyFont="1" applyBorder="1" applyAlignment="1">
      <alignment horizontal="center" vertical="center" wrapText="1"/>
    </xf>
    <xf numFmtId="0" fontId="0" fillId="0" borderId="24" xfId="0" applyBorder="1" applyAlignment="1">
      <alignment horizontal="center"/>
    </xf>
    <xf numFmtId="0" fontId="0" fillId="0" borderId="25" xfId="0" applyBorder="1" applyAlignment="1">
      <alignment horizont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5" xfId="0" applyBorder="1" applyAlignment="1">
      <alignment horizontal="center"/>
    </xf>
    <xf numFmtId="0" fontId="0" fillId="0" borderId="14" xfId="0" applyBorder="1" applyAlignment="1" applyProtection="1">
      <alignment horizontal="center" vertical="center"/>
      <protection locked="0"/>
    </xf>
    <xf numFmtId="0" fontId="6" fillId="0" borderId="0" xfId="0" applyFont="1" applyAlignment="1">
      <alignment horizontal="center" vertical="center"/>
    </xf>
    <xf numFmtId="0" fontId="0" fillId="0" borderId="26" xfId="0" applyBorder="1" applyAlignment="1">
      <alignment horizontal="center" wrapText="1"/>
    </xf>
    <xf numFmtId="0" fontId="6" fillId="0" borderId="12" xfId="0" applyFont="1" applyBorder="1" applyAlignment="1" applyProtection="1">
      <alignment horizontal="center"/>
      <protection locked="0"/>
    </xf>
    <xf numFmtId="0" fontId="8" fillId="0" borderId="12" xfId="0" applyFont="1" applyBorder="1" applyAlignment="1">
      <alignment horizontal="left"/>
    </xf>
    <xf numFmtId="0" fontId="8" fillId="4" borderId="14" xfId="0" applyFont="1" applyFill="1" applyBorder="1" applyAlignment="1">
      <alignment horizontal="center" vertical="center"/>
    </xf>
    <xf numFmtId="0" fontId="12" fillId="4" borderId="14" xfId="0" applyFont="1" applyFill="1" applyBorder="1" applyAlignment="1">
      <alignment horizontal="center" vertical="center" wrapText="1"/>
    </xf>
    <xf numFmtId="0" fontId="6" fillId="0" borderId="17"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5" xfId="0" applyFont="1" applyBorder="1" applyAlignment="1">
      <alignment horizontal="center" vertical="center" wrapText="1"/>
    </xf>
    <xf numFmtId="0" fontId="8" fillId="4" borderId="14" xfId="0" applyFont="1" applyFill="1" applyBorder="1" applyAlignment="1">
      <alignment horizontal="center"/>
    </xf>
    <xf numFmtId="0" fontId="6" fillId="3" borderId="0" xfId="0" applyFont="1" applyFill="1" applyAlignment="1">
      <alignment horizontal="center" vertical="center"/>
    </xf>
    <xf numFmtId="0" fontId="6" fillId="3" borderId="12" xfId="0" applyFont="1" applyFill="1" applyBorder="1" applyAlignment="1">
      <alignment horizontal="center" vertical="center"/>
    </xf>
    <xf numFmtId="0" fontId="6" fillId="0" borderId="0" xfId="0" applyFont="1" applyAlignment="1">
      <alignment horizontal="right"/>
    </xf>
    <xf numFmtId="0" fontId="6" fillId="0" borderId="16" xfId="0" applyFont="1" applyBorder="1" applyAlignment="1" applyProtection="1">
      <alignment horizontal="center"/>
      <protection locked="0"/>
    </xf>
    <xf numFmtId="0" fontId="0" fillId="0" borderId="16" xfId="0" applyBorder="1" applyAlignment="1" applyProtection="1">
      <alignment horizontal="center"/>
      <protection locked="0"/>
    </xf>
    <xf numFmtId="0" fontId="6" fillId="3" borderId="17" xfId="0" applyFont="1" applyFill="1" applyBorder="1" applyAlignment="1">
      <alignment horizontal="center" vertical="center" wrapText="1"/>
    </xf>
    <xf numFmtId="0" fontId="6" fillId="3" borderId="16" xfId="0" applyFont="1" applyFill="1" applyBorder="1" applyAlignment="1">
      <alignment horizontal="center" vertical="center" wrapText="1"/>
    </xf>
    <xf numFmtId="0" fontId="6" fillId="3" borderId="15" xfId="0" applyFont="1" applyFill="1" applyBorder="1" applyAlignment="1">
      <alignment horizontal="center" vertical="center" wrapText="1"/>
    </xf>
    <xf numFmtId="0" fontId="8" fillId="0" borderId="16" xfId="0" applyFont="1" applyBorder="1" applyAlignment="1" applyProtection="1">
      <alignment horizontal="center" wrapText="1"/>
      <protection locked="0"/>
    </xf>
    <xf numFmtId="0" fontId="6" fillId="3" borderId="17" xfId="0" applyFont="1" applyFill="1" applyBorder="1" applyAlignment="1">
      <alignment horizontal="center" vertical="center"/>
    </xf>
    <xf numFmtId="0" fontId="6" fillId="3" borderId="16" xfId="0" applyFont="1" applyFill="1" applyBorder="1" applyAlignment="1">
      <alignment horizontal="center" vertical="center"/>
    </xf>
    <xf numFmtId="0" fontId="6" fillId="3" borderId="15" xfId="0" applyFont="1" applyFill="1" applyBorder="1" applyAlignment="1">
      <alignment horizontal="center" vertical="center"/>
    </xf>
    <xf numFmtId="0" fontId="25" fillId="6" borderId="14" xfId="0" applyFont="1" applyFill="1" applyBorder="1" applyAlignment="1">
      <alignment horizontal="center" vertical="center"/>
    </xf>
    <xf numFmtId="0" fontId="0" fillId="0" borderId="17" xfId="0" applyBorder="1" applyAlignment="1" applyProtection="1">
      <alignment horizontal="center"/>
      <protection locked="0"/>
    </xf>
    <xf numFmtId="0" fontId="0" fillId="0" borderId="15" xfId="0" applyBorder="1" applyAlignment="1" applyProtection="1">
      <alignment horizontal="center"/>
      <protection locked="0"/>
    </xf>
    <xf numFmtId="0" fontId="8" fillId="0" borderId="12" xfId="0" applyFont="1" applyBorder="1" applyAlignment="1" applyProtection="1">
      <alignment horizontal="center"/>
      <protection locked="0"/>
    </xf>
    <xf numFmtId="0" fontId="8" fillId="9" borderId="14" xfId="0" applyFont="1" applyFill="1" applyBorder="1" applyAlignment="1" applyProtection="1">
      <alignment horizontal="left" vertical="top"/>
      <protection locked="0"/>
    </xf>
    <xf numFmtId="0" fontId="0" fillId="0" borderId="17" xfId="0" applyBorder="1" applyAlignment="1">
      <alignment horizontal="center" vertical="center"/>
    </xf>
    <xf numFmtId="0" fontId="0" fillId="0" borderId="16" xfId="0" applyBorder="1" applyAlignment="1">
      <alignment horizontal="center" vertical="center"/>
    </xf>
    <xf numFmtId="0" fontId="0" fillId="0" borderId="15" xfId="0" applyBorder="1" applyAlignment="1">
      <alignment horizontal="center" vertical="center"/>
    </xf>
    <xf numFmtId="0" fontId="10" fillId="0" borderId="0" xfId="0" applyFont="1" applyAlignment="1">
      <alignment horizontal="center" vertical="center" wrapText="1"/>
    </xf>
    <xf numFmtId="0" fontId="8" fillId="4" borderId="17" xfId="0" applyFont="1" applyFill="1" applyBorder="1" applyAlignment="1">
      <alignment horizontal="center" wrapText="1"/>
    </xf>
    <xf numFmtId="0" fontId="8" fillId="4" borderId="16" xfId="0" applyFont="1" applyFill="1" applyBorder="1" applyAlignment="1">
      <alignment horizontal="center" wrapText="1"/>
    </xf>
    <xf numFmtId="0" fontId="8" fillId="4" borderId="15" xfId="0" applyFont="1" applyFill="1" applyBorder="1" applyAlignment="1">
      <alignment horizontal="center" wrapText="1"/>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8" fillId="0" borderId="0" xfId="0" applyFont="1" applyAlignment="1">
      <alignment horizontal="center" vertical="center" wrapText="1"/>
    </xf>
    <xf numFmtId="0" fontId="8" fillId="0" borderId="11" xfId="0" applyFont="1" applyBorder="1" applyAlignment="1">
      <alignment horizontal="right"/>
    </xf>
    <xf numFmtId="0" fontId="8" fillId="0" borderId="12" xfId="0" applyFont="1" applyBorder="1" applyAlignment="1">
      <alignment horizontal="right"/>
    </xf>
    <xf numFmtId="0" fontId="0" fillId="0" borderId="17" xfId="0" applyBorder="1" applyAlignment="1" applyProtection="1">
      <alignment horizontal="center" vertical="center"/>
      <protection locked="0"/>
    </xf>
    <xf numFmtId="0" fontId="0" fillId="0" borderId="15" xfId="0" applyBorder="1" applyAlignment="1" applyProtection="1">
      <alignment horizontal="center" vertical="center"/>
      <protection locked="0"/>
    </xf>
    <xf numFmtId="0" fontId="8" fillId="0" borderId="9" xfId="0" applyFont="1" applyBorder="1" applyAlignment="1">
      <alignment horizontal="center" vertical="center"/>
    </xf>
    <xf numFmtId="0" fontId="8" fillId="0" borderId="0" xfId="0" applyFont="1" applyAlignment="1">
      <alignment horizontal="center" vertical="center"/>
    </xf>
    <xf numFmtId="0" fontId="8" fillId="0" borderId="12" xfId="0" applyFont="1" applyBorder="1" applyAlignment="1">
      <alignment horizontal="center"/>
    </xf>
    <xf numFmtId="0" fontId="0" fillId="0" borderId="14" xfId="0" applyBorder="1" applyAlignment="1">
      <alignment horizontal="center" vertical="center"/>
    </xf>
    <xf numFmtId="0" fontId="6" fillId="0" borderId="12" xfId="0" applyFont="1" applyBorder="1" applyAlignment="1">
      <alignment horizontal="center"/>
    </xf>
    <xf numFmtId="0" fontId="6" fillId="0" borderId="14" xfId="0" applyFont="1" applyBorder="1" applyAlignment="1" applyProtection="1">
      <alignment horizontal="center"/>
      <protection locked="0"/>
    </xf>
    <xf numFmtId="0" fontId="8" fillId="0" borderId="14" xfId="0" applyFont="1" applyBorder="1" applyAlignment="1">
      <alignment horizontal="center"/>
    </xf>
    <xf numFmtId="0" fontId="5" fillId="0" borderId="14" xfId="1" applyBorder="1" applyAlignment="1" applyProtection="1">
      <alignment horizontal="center" vertical="center" wrapText="1"/>
    </xf>
    <xf numFmtId="0" fontId="8" fillId="0" borderId="17" xfId="0" applyFont="1" applyBorder="1" applyAlignment="1">
      <alignment horizontal="center"/>
    </xf>
    <xf numFmtId="0" fontId="8" fillId="0" borderId="16" xfId="0" applyFont="1" applyBorder="1" applyAlignment="1">
      <alignment horizontal="center"/>
    </xf>
    <xf numFmtId="0" fontId="8" fillId="0" borderId="15" xfId="0" applyFont="1" applyBorder="1" applyAlignment="1">
      <alignment horizontal="center"/>
    </xf>
    <xf numFmtId="0" fontId="5" fillId="0" borderId="14" xfId="1" applyBorder="1" applyAlignment="1" applyProtection="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14" xfId="0" applyFont="1"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xf>
    <xf numFmtId="0" fontId="19" fillId="6" borderId="17" xfId="0" applyFont="1" applyFill="1" applyBorder="1" applyAlignment="1">
      <alignment horizontal="center" vertical="center"/>
    </xf>
    <xf numFmtId="0" fontId="19" fillId="6" borderId="16" xfId="0" applyFont="1" applyFill="1" applyBorder="1" applyAlignment="1">
      <alignment horizontal="center" vertical="center"/>
    </xf>
    <xf numFmtId="0" fontId="19" fillId="5" borderId="17" xfId="0" applyFont="1" applyFill="1" applyBorder="1" applyAlignment="1">
      <alignment horizontal="center" vertical="center"/>
    </xf>
    <xf numFmtId="0" fontId="19" fillId="5" borderId="15" xfId="0" applyFont="1" applyFill="1" applyBorder="1" applyAlignment="1">
      <alignment horizontal="center" vertical="center"/>
    </xf>
    <xf numFmtId="9" fontId="0" fillId="0" borderId="14" xfId="2" applyFont="1" applyBorder="1" applyAlignment="1">
      <alignment horizontal="center" vertical="center"/>
    </xf>
    <xf numFmtId="9" fontId="0" fillId="0" borderId="17" xfId="2" applyFont="1" applyBorder="1" applyAlignment="1">
      <alignment horizontal="center" vertical="center"/>
    </xf>
    <xf numFmtId="9" fontId="0" fillId="0" borderId="15" xfId="2" applyFont="1" applyBorder="1" applyAlignment="1">
      <alignment horizontal="center" vertical="center"/>
    </xf>
    <xf numFmtId="9" fontId="0" fillId="0" borderId="14" xfId="2" applyFont="1" applyBorder="1" applyAlignment="1">
      <alignment horizontal="center"/>
    </xf>
    <xf numFmtId="9" fontId="6" fillId="0" borderId="17" xfId="2" applyFont="1" applyBorder="1" applyAlignment="1">
      <alignment horizontal="center" vertical="center"/>
    </xf>
    <xf numFmtId="0" fontId="5" fillId="0" borderId="14" xfId="1" applyBorder="1" applyAlignment="1" applyProtection="1">
      <alignment horizontal="center"/>
    </xf>
    <xf numFmtId="0" fontId="5" fillId="0" borderId="14" xfId="1" applyBorder="1" applyAlignment="1" applyProtection="1">
      <alignment horizontal="center" wrapText="1"/>
    </xf>
    <xf numFmtId="0" fontId="7" fillId="2" borderId="0" xfId="0" applyFont="1" applyFill="1" applyAlignment="1">
      <alignment horizontal="center"/>
    </xf>
    <xf numFmtId="0" fontId="1" fillId="0" borderId="14" xfId="0" applyFont="1" applyBorder="1" applyAlignment="1" applyProtection="1">
      <alignment horizontal="center"/>
      <protection locked="0"/>
    </xf>
    <xf numFmtId="14" fontId="0" fillId="0" borderId="14" xfId="0" applyNumberFormat="1" applyBorder="1" applyAlignment="1" applyProtection="1">
      <alignment horizontal="center"/>
      <protection locked="0"/>
    </xf>
  </cellXfs>
  <cellStyles count="3">
    <cellStyle name="Hiperlink" xfId="1" builtinId="8"/>
    <cellStyle name="Normal" xfId="0" builtinId="0"/>
    <cellStyle name="Porcentagem" xfId="2" builtinId="5"/>
  </cellStyles>
  <dxfs count="3">
    <dxf>
      <font>
        <color theme="0"/>
      </font>
      <fill>
        <patternFill>
          <bgColor theme="9" tint="-0.24994659260841701"/>
        </patternFill>
      </fill>
      <border>
        <left style="thin">
          <color indexed="64"/>
        </left>
        <right style="thin">
          <color indexed="64"/>
        </right>
        <top style="thin">
          <color indexed="64"/>
        </top>
        <bottom style="thin">
          <color indexed="64"/>
        </bottom>
      </border>
    </dxf>
    <dxf>
      <font>
        <color auto="1"/>
      </font>
      <border>
        <left style="thin">
          <color indexed="64"/>
        </left>
        <right style="thin">
          <color indexed="64"/>
        </right>
        <top style="thin">
          <color indexed="64"/>
        </top>
        <bottom style="thin">
          <color indexed="64"/>
        </bottom>
      </border>
    </dxf>
    <dxf>
      <font>
        <b/>
        <i val="0"/>
        <color theme="0"/>
      </font>
      <fill>
        <patternFill>
          <bgColor theme="9" tint="-0.24994659260841701"/>
        </patternFill>
      </fill>
      <border>
        <left style="thin">
          <color indexed="64"/>
        </left>
        <right style="thin">
          <color indexed="64"/>
        </right>
        <top style="thin">
          <color indexed="64"/>
        </top>
        <bottom style="thin">
          <color indexed="64"/>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ctrlProps/ctrlProp1.xml><?xml version="1.0" encoding="utf-8"?>
<formControlPr xmlns="http://schemas.microsoft.com/office/spreadsheetml/2009/9/main" objectType="CheckBox" fmlaLink="$J$10" noThreeD="1"/>
</file>

<file path=xl/ctrlProps/ctrlProp2.xml><?xml version="1.0" encoding="utf-8"?>
<formControlPr xmlns="http://schemas.microsoft.com/office/spreadsheetml/2009/9/main" objectType="CheckBox" checked="Checked" fmlaLink="$J$10" noThreeD="1"/>
</file>

<file path=xl/ctrlProps/ctrlProp3.xml><?xml version="1.0" encoding="utf-8"?>
<formControlPr xmlns="http://schemas.microsoft.com/office/spreadsheetml/2009/9/main" objectType="CheckBox" fmlaLink="$J$10" noThreeD="1"/>
</file>

<file path=xl/ctrlProps/ctrlProp4.xml><?xml version="1.0" encoding="utf-8"?>
<formControlPr xmlns="http://schemas.microsoft.com/office/spreadsheetml/2009/9/main" objectType="CheckBox" fmlaLink="$J$10" noThreeD="1"/>
</file>

<file path=xl/ctrlProps/ctrlProp5.xml><?xml version="1.0" encoding="utf-8"?>
<formControlPr xmlns="http://schemas.microsoft.com/office/spreadsheetml/2009/9/main" objectType="CheckBox" fmlaLink="$J$10" noThreeD="1"/>
</file>

<file path=xl/ctrlProps/ctrlProp6.xml><?xml version="1.0" encoding="utf-8"?>
<formControlPr xmlns="http://schemas.microsoft.com/office/spreadsheetml/2009/9/main" objectType="CheckBox" fmlaLink="$J$10" noThreeD="1"/>
</file>

<file path=xl/ctrlProps/ctrlProp7.xml><?xml version="1.0" encoding="utf-8"?>
<formControlPr xmlns="http://schemas.microsoft.com/office/spreadsheetml/2009/9/main" objectType="CheckBox" fmlaLink="$J$10" noThreeD="1"/>
</file>

<file path=xl/ctrlProps/ctrlProp8.xml><?xml version="1.0" encoding="utf-8"?>
<formControlPr xmlns="http://schemas.microsoft.com/office/spreadsheetml/2009/9/main" objectType="CheckBox" fmlaLink="$J$10" noThreeD="1"/>
</file>

<file path=xl/ctrlProps/ctrlProp9.xml><?xml version="1.0" encoding="utf-8"?>
<formControlPr xmlns="http://schemas.microsoft.com/office/spreadsheetml/2009/9/main" objectType="CheckBox" fmlaLink="$J$10" noThreeD="1"/>
</file>

<file path=xl/ctrlProps/ctrlProp10.xml><?xml version="1.0" encoding="utf-8"?>
<formControlPr xmlns="http://schemas.microsoft.com/office/spreadsheetml/2009/9/main" objectType="CheckBox" fmlaLink="$J$10" noThreeD="1"/>
</file>

<file path=xl/ctrlProps/ctrlProp11.xml><?xml version="1.0" encoding="utf-8"?>
<formControlPr xmlns="http://schemas.microsoft.com/office/spreadsheetml/2009/9/main" objectType="CheckBox" fmlaLink="$J$10" noThreeD="1"/>
</file>

<file path=xl/ctrlProps/ctrlProp12.xml><?xml version="1.0" encoding="utf-8"?>
<formControlPr xmlns="http://schemas.microsoft.com/office/spreadsheetml/2009/9/main" objectType="CheckBox" fmlaLink="$J$10" noThreeD="1"/>
</file>

<file path=xl/ctrlProps/ctrlProp13.xml><?xml version="1.0" encoding="utf-8"?>
<formControlPr xmlns="http://schemas.microsoft.com/office/spreadsheetml/2009/9/main" objectType="CheckBox" fmlaLink="$J$10" noThreeD="1"/>
</file>

<file path=xl/ctrlProps/ctrlProp14.xml><?xml version="1.0" encoding="utf-8"?>
<formControlPr xmlns="http://schemas.microsoft.com/office/spreadsheetml/2009/9/main" objectType="CheckBox" fmlaLink="$J$10" noThreeD="1"/>
</file>

<file path=xl/ctrlProps/ctrlProp15.xml><?xml version="1.0" encoding="utf-8"?>
<formControlPr xmlns="http://schemas.microsoft.com/office/spreadsheetml/2009/9/main" objectType="CheckBox" fmlaLink="$J$10" noThreeD="1"/>
</file>

<file path=xl/ctrlProps/ctrlProp16.xml><?xml version="1.0" encoding="utf-8"?>
<formControlPr xmlns="http://schemas.microsoft.com/office/spreadsheetml/2009/9/main" objectType="CheckBox" fmlaLink="$J$10" noThreeD="1"/>
</file>

<file path=xl/drawings/_rels/drawing1.xml.rels><?xml version="1.0" encoding="UTF-8" standalone="yes"?>
<Relationships xmlns="http://schemas.openxmlformats.org/package/2006/relationships"><Relationship Id="rId8" Type="http://schemas.openxmlformats.org/officeDocument/2006/relationships/hyperlink" Target="#'DESCARTE DE RES&#205;DUO'!A1"/><Relationship Id="rId13" Type="http://schemas.openxmlformats.org/officeDocument/2006/relationships/hyperlink" Target="#LABORAT&#211;RIO_LABORATORY!A1"/><Relationship Id="rId18" Type="http://schemas.openxmlformats.org/officeDocument/2006/relationships/hyperlink" Target="#'CONTROLE DE PRAGAS'!A1"/><Relationship Id="rId3" Type="http://schemas.openxmlformats.org/officeDocument/2006/relationships/hyperlink" Target="#'EMBALAGEM PRIM&#193;RIA '!A1"/><Relationship Id="rId7" Type="http://schemas.openxmlformats.org/officeDocument/2006/relationships/hyperlink" Target="#'PRODUTO DE LIMPEZA'!A1"/><Relationship Id="rId12" Type="http://schemas.openxmlformats.org/officeDocument/2006/relationships/hyperlink" Target="#'AUDITORES EXTERNOS'!A1"/><Relationship Id="rId17" Type="http://schemas.openxmlformats.org/officeDocument/2006/relationships/hyperlink" Target="#'ARMAZ&#201;M TERCEIRO'!A1"/><Relationship Id="rId2" Type="http://schemas.openxmlformats.org/officeDocument/2006/relationships/hyperlink" Target="#'MAT&#201;RIA-PRIMA_RAW MATERIAL'!A1"/><Relationship Id="rId16" Type="http://schemas.openxmlformats.org/officeDocument/2006/relationships/hyperlink" Target="#ORIENTA&#199;&#213;ES_GENERAL!A1"/><Relationship Id="rId1" Type="http://schemas.openxmlformats.org/officeDocument/2006/relationships/image" Target="../media/image1.png"/><Relationship Id="rId6" Type="http://schemas.openxmlformats.org/officeDocument/2006/relationships/hyperlink" Target="#QUIMICO!A1"/><Relationship Id="rId11" Type="http://schemas.openxmlformats.org/officeDocument/2006/relationships/hyperlink" Target="#TRANSPORTADORAS!A1"/><Relationship Id="rId5" Type="http://schemas.openxmlformats.org/officeDocument/2006/relationships/hyperlink" Target="#'EMBALAGEM SEGUND&#193;RIA'!A1"/><Relationship Id="rId15" Type="http://schemas.openxmlformats.org/officeDocument/2006/relationships/hyperlink" Target="#DESPACHANTE!A1"/><Relationship Id="rId10" Type="http://schemas.openxmlformats.org/officeDocument/2006/relationships/hyperlink" Target="#MANUTEN&#199;&#195;O!A1"/><Relationship Id="rId4" Type="http://schemas.openxmlformats.org/officeDocument/2006/relationships/hyperlink" Target="#'MATERIA-PRIMA (OUTROS) '!A1"/><Relationship Id="rId9" Type="http://schemas.openxmlformats.org/officeDocument/2006/relationships/hyperlink" Target="#CALIBRA&#199;&#195;O_EQUIP!A1"/><Relationship Id="rId14" Type="http://schemas.openxmlformats.org/officeDocument/2006/relationships/hyperlink" Target="#EPI!A1"/></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hyperlink" Target="#MENU!A1"/></Relationships>
</file>

<file path=xl/drawings/_rels/drawing3.xml.rels><?xml version="1.0" encoding="UTF-8" standalone="yes"?>
<Relationships xmlns="http://schemas.openxmlformats.org/package/2006/relationships"><Relationship Id="rId2" Type="http://schemas.openxmlformats.org/officeDocument/2006/relationships/hyperlink" Target="#MENU!A1"/><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hyperlink" Target="#MENU!A1"/><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hyperlink" Target="#MENU!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hyperlink" Target="#MENU!A1"/><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hyperlink" Target="#MENU!A1"/><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hyperlink" Target="#MENU!A1"/><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hyperlink" Target="#MENU!A1"/><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hyperlink" Target="#MENU!A1"/><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hyperlink" Target="#MENU!A1"/><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hyperlink" Target="#MENU!A1"/><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hyperlink" Target="#MENU!A1"/><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hyperlink" Target="#MENU!A1"/><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2" Type="http://schemas.openxmlformats.org/officeDocument/2006/relationships/hyperlink" Target="#MENU!A1"/><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2" Type="http://schemas.openxmlformats.org/officeDocument/2006/relationships/hyperlink" Target="#MENU!A1"/><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2" Type="http://schemas.openxmlformats.org/officeDocument/2006/relationships/hyperlink" Target="#MENU!A1"/><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MENU!A1"/><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0</xdr:col>
      <xdr:colOff>123825</xdr:colOff>
      <xdr:row>0</xdr:row>
      <xdr:rowOff>104775</xdr:rowOff>
    </xdr:from>
    <xdr:to>
      <xdr:col>0</xdr:col>
      <xdr:colOff>2057400</xdr:colOff>
      <xdr:row>3</xdr:row>
      <xdr:rowOff>161925</xdr:rowOff>
    </xdr:to>
    <xdr:pic>
      <xdr:nvPicPr>
        <xdr:cNvPr id="70047" name="Imagem 2" descr="Logotipo&#10;&#10;Descrição gerada automaticamente com confiança média">
          <a:extLst>
            <a:ext uri="{FF2B5EF4-FFF2-40B4-BE49-F238E27FC236}">
              <a16:creationId xmlns:a16="http://schemas.microsoft.com/office/drawing/2014/main" xmlns="" id="{00000000-0008-0000-0000-00009F11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825" y="104775"/>
          <a:ext cx="1704975"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613725</xdr:colOff>
      <xdr:row>10</xdr:row>
      <xdr:rowOff>18097</xdr:rowOff>
    </xdr:from>
    <xdr:to>
      <xdr:col>1</xdr:col>
      <xdr:colOff>948100</xdr:colOff>
      <xdr:row>13</xdr:row>
      <xdr:rowOff>81847</xdr:rowOff>
    </xdr:to>
    <xdr:sp macro="" textlink="">
      <xdr:nvSpPr>
        <xdr:cNvPr id="4" name="Retângulo: Cantos Arredondados 3">
          <a:hlinkClick xmlns:r="http://schemas.openxmlformats.org/officeDocument/2006/relationships" r:id="rId2"/>
          <a:extLst>
            <a:ext uri="{FF2B5EF4-FFF2-40B4-BE49-F238E27FC236}">
              <a16:creationId xmlns:a16="http://schemas.microsoft.com/office/drawing/2014/main" xmlns="" id="{00000000-0008-0000-0000-000004000000}"/>
            </a:ext>
          </a:extLst>
        </xdr:cNvPr>
        <xdr:cNvSpPr/>
      </xdr:nvSpPr>
      <xdr:spPr>
        <a:xfrm>
          <a:off x="613725" y="2335847"/>
          <a:ext cx="2160000"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algn="ctr"/>
          <a:r>
            <a:rPr lang="pt-BR" sz="1200" b="1">
              <a:solidFill>
                <a:schemeClr val="bg1"/>
              </a:solidFill>
            </a:rPr>
            <a:t>MATERIA-PRIMA (LEVEDURA) /</a:t>
          </a:r>
          <a:r>
            <a:rPr lang="pt-BR" sz="1200" b="1" baseline="0">
              <a:solidFill>
                <a:schemeClr val="bg1"/>
              </a:solidFill>
            </a:rPr>
            <a:t> RAW MATERIAL (YEAST)</a:t>
          </a:r>
          <a:endParaRPr lang="pt-BR" sz="1200" b="1">
            <a:solidFill>
              <a:schemeClr val="bg1"/>
            </a:solidFill>
          </a:endParaRPr>
        </a:p>
      </xdr:txBody>
    </xdr:sp>
    <xdr:clientData/>
  </xdr:twoCellAnchor>
  <xdr:twoCellAnchor>
    <xdr:from>
      <xdr:col>0</xdr:col>
      <xdr:colOff>634053</xdr:colOff>
      <xdr:row>14</xdr:row>
      <xdr:rowOff>18731</xdr:rowOff>
    </xdr:from>
    <xdr:to>
      <xdr:col>1</xdr:col>
      <xdr:colOff>968428</xdr:colOff>
      <xdr:row>17</xdr:row>
      <xdr:rowOff>82481</xdr:rowOff>
    </xdr:to>
    <xdr:sp macro="" textlink="">
      <xdr:nvSpPr>
        <xdr:cNvPr id="5" name="Retângulo: Cantos Arredondados 4">
          <a:hlinkClick xmlns:r="http://schemas.openxmlformats.org/officeDocument/2006/relationships" r:id="rId3"/>
          <a:extLst>
            <a:ext uri="{FF2B5EF4-FFF2-40B4-BE49-F238E27FC236}">
              <a16:creationId xmlns:a16="http://schemas.microsoft.com/office/drawing/2014/main" xmlns="" id="{00000000-0008-0000-0000-000005000000}"/>
            </a:ext>
          </a:extLst>
        </xdr:cNvPr>
        <xdr:cNvSpPr/>
      </xdr:nvSpPr>
      <xdr:spPr>
        <a:xfrm>
          <a:off x="634053" y="2971481"/>
          <a:ext cx="2160000"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algn="ctr"/>
          <a:r>
            <a:rPr lang="pt-BR" sz="1200" b="1">
              <a:solidFill>
                <a:schemeClr val="lt1"/>
              </a:solidFill>
              <a:effectLst/>
              <a:latin typeface="+mn-lt"/>
              <a:ea typeface="+mn-ea"/>
              <a:cs typeface="+mn-cs"/>
            </a:rPr>
            <a:t>EMBALAGEM PRIMÁRIA/ PRIMARY PACKAGE</a:t>
          </a:r>
          <a:endParaRPr lang="pt-BR" sz="1200" b="1">
            <a:solidFill>
              <a:schemeClr val="bg1"/>
            </a:solidFill>
          </a:endParaRPr>
        </a:p>
      </xdr:txBody>
    </xdr:sp>
    <xdr:clientData/>
  </xdr:twoCellAnchor>
  <xdr:twoCellAnchor>
    <xdr:from>
      <xdr:col>1</xdr:col>
      <xdr:colOff>1725603</xdr:colOff>
      <xdr:row>10</xdr:row>
      <xdr:rowOff>12384</xdr:rowOff>
    </xdr:from>
    <xdr:to>
      <xdr:col>1</xdr:col>
      <xdr:colOff>3885603</xdr:colOff>
      <xdr:row>13</xdr:row>
      <xdr:rowOff>76134</xdr:rowOff>
    </xdr:to>
    <xdr:sp macro="" textlink="">
      <xdr:nvSpPr>
        <xdr:cNvPr id="6" name="Retângulo: Cantos Arredondados 5">
          <a:hlinkClick xmlns:r="http://schemas.openxmlformats.org/officeDocument/2006/relationships" r:id="rId4"/>
          <a:extLst>
            <a:ext uri="{FF2B5EF4-FFF2-40B4-BE49-F238E27FC236}">
              <a16:creationId xmlns:a16="http://schemas.microsoft.com/office/drawing/2014/main" xmlns="" id="{00000000-0008-0000-0000-000006000000}"/>
            </a:ext>
          </a:extLst>
        </xdr:cNvPr>
        <xdr:cNvSpPr/>
      </xdr:nvSpPr>
      <xdr:spPr>
        <a:xfrm>
          <a:off x="3551228" y="2330134"/>
          <a:ext cx="2160000"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algn="ctr"/>
          <a:r>
            <a:rPr lang="pt-BR" sz="1200" b="1">
              <a:solidFill>
                <a:schemeClr val="bg1"/>
              </a:solidFill>
            </a:rPr>
            <a:t>MATERIA-PRIMA (OUTROS) / RAW MATERIALS (OTHERS)</a:t>
          </a:r>
        </a:p>
      </xdr:txBody>
    </xdr:sp>
    <xdr:clientData/>
  </xdr:twoCellAnchor>
  <xdr:twoCellAnchor>
    <xdr:from>
      <xdr:col>1</xdr:col>
      <xdr:colOff>1761180</xdr:colOff>
      <xdr:row>14</xdr:row>
      <xdr:rowOff>19367</xdr:rowOff>
    </xdr:from>
    <xdr:to>
      <xdr:col>1</xdr:col>
      <xdr:colOff>3921180</xdr:colOff>
      <xdr:row>17</xdr:row>
      <xdr:rowOff>83117</xdr:rowOff>
    </xdr:to>
    <xdr:sp macro="" textlink="">
      <xdr:nvSpPr>
        <xdr:cNvPr id="7" name="Retângulo: Cantos Arredondados 6">
          <a:hlinkClick xmlns:r="http://schemas.openxmlformats.org/officeDocument/2006/relationships" r:id="rId5"/>
          <a:extLst>
            <a:ext uri="{FF2B5EF4-FFF2-40B4-BE49-F238E27FC236}">
              <a16:creationId xmlns:a16="http://schemas.microsoft.com/office/drawing/2014/main" xmlns="" id="{00000000-0008-0000-0000-000007000000}"/>
            </a:ext>
          </a:extLst>
        </xdr:cNvPr>
        <xdr:cNvSpPr/>
      </xdr:nvSpPr>
      <xdr:spPr>
        <a:xfrm>
          <a:off x="3586805" y="2972117"/>
          <a:ext cx="2160000"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algn="ctr">
            <a:lnSpc>
              <a:spcPts val="1100"/>
            </a:lnSpc>
          </a:pPr>
          <a:r>
            <a:rPr lang="pt-BR" sz="1200" b="1">
              <a:solidFill>
                <a:schemeClr val="lt1"/>
              </a:solidFill>
              <a:effectLst/>
              <a:latin typeface="+mn-lt"/>
              <a:ea typeface="+mn-ea"/>
              <a:cs typeface="+mn-cs"/>
            </a:rPr>
            <a:t>EMBALAGEM SEGUNDÁRIA/ SECONDARY PACKAGING</a:t>
          </a:r>
          <a:r>
            <a:rPr lang="pt-BR" sz="1200" b="1" baseline="0">
              <a:solidFill>
                <a:schemeClr val="bg1"/>
              </a:solidFill>
            </a:rPr>
            <a:t> </a:t>
          </a:r>
          <a:endParaRPr lang="pt-BR" sz="1200" b="1">
            <a:solidFill>
              <a:schemeClr val="bg1"/>
            </a:solidFill>
          </a:endParaRPr>
        </a:p>
      </xdr:txBody>
    </xdr:sp>
    <xdr:clientData/>
  </xdr:twoCellAnchor>
  <xdr:twoCellAnchor>
    <xdr:from>
      <xdr:col>1</xdr:col>
      <xdr:colOff>217171</xdr:colOff>
      <xdr:row>17</xdr:row>
      <xdr:rowOff>157478</xdr:rowOff>
    </xdr:from>
    <xdr:to>
      <xdr:col>1</xdr:col>
      <xdr:colOff>2377171</xdr:colOff>
      <xdr:row>21</xdr:row>
      <xdr:rowOff>62478</xdr:rowOff>
    </xdr:to>
    <xdr:sp macro="" textlink="">
      <xdr:nvSpPr>
        <xdr:cNvPr id="8" name="Retângulo: Cantos Arredondados 7">
          <a:hlinkClick xmlns:r="http://schemas.openxmlformats.org/officeDocument/2006/relationships" r:id="rId6"/>
          <a:extLst>
            <a:ext uri="{FF2B5EF4-FFF2-40B4-BE49-F238E27FC236}">
              <a16:creationId xmlns:a16="http://schemas.microsoft.com/office/drawing/2014/main" xmlns="" id="{00000000-0008-0000-0000-000008000000}"/>
            </a:ext>
          </a:extLst>
        </xdr:cNvPr>
        <xdr:cNvSpPr/>
      </xdr:nvSpPr>
      <xdr:spPr>
        <a:xfrm>
          <a:off x="2042796" y="3586478"/>
          <a:ext cx="2160000"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algn="ctr">
            <a:lnSpc>
              <a:spcPts val="1200"/>
            </a:lnSpc>
          </a:pPr>
          <a:r>
            <a:rPr lang="pt-BR" sz="1200" b="1">
              <a:solidFill>
                <a:schemeClr val="bg1"/>
              </a:solidFill>
            </a:rPr>
            <a:t>PRODUTO QUÍMICO/</a:t>
          </a:r>
          <a:r>
            <a:rPr lang="pt-BR" sz="1200" b="1" baseline="0">
              <a:solidFill>
                <a:schemeClr val="bg1"/>
              </a:solidFill>
            </a:rPr>
            <a:t> CHEMICAL PRODUCT</a:t>
          </a:r>
          <a:endParaRPr lang="pt-BR" sz="1200" b="1">
            <a:solidFill>
              <a:schemeClr val="bg1"/>
            </a:solidFill>
          </a:endParaRPr>
        </a:p>
      </xdr:txBody>
    </xdr:sp>
    <xdr:clientData/>
  </xdr:twoCellAnchor>
  <xdr:twoCellAnchor>
    <xdr:from>
      <xdr:col>1</xdr:col>
      <xdr:colOff>4547188</xdr:colOff>
      <xdr:row>13</xdr:row>
      <xdr:rowOff>154305</xdr:rowOff>
    </xdr:from>
    <xdr:to>
      <xdr:col>2</xdr:col>
      <xdr:colOff>1674813</xdr:colOff>
      <xdr:row>17</xdr:row>
      <xdr:rowOff>59305</xdr:rowOff>
    </xdr:to>
    <xdr:sp macro="" textlink="">
      <xdr:nvSpPr>
        <xdr:cNvPr id="9" name="Retângulo: Cantos Arredondados 8">
          <a:hlinkClick xmlns:r="http://schemas.openxmlformats.org/officeDocument/2006/relationships" r:id="rId7"/>
          <a:extLst>
            <a:ext uri="{FF2B5EF4-FFF2-40B4-BE49-F238E27FC236}">
              <a16:creationId xmlns:a16="http://schemas.microsoft.com/office/drawing/2014/main" xmlns="" id="{00000000-0008-0000-0000-000009000000}"/>
            </a:ext>
          </a:extLst>
        </xdr:cNvPr>
        <xdr:cNvSpPr/>
      </xdr:nvSpPr>
      <xdr:spPr>
        <a:xfrm>
          <a:off x="6372813" y="2948305"/>
          <a:ext cx="2160000"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algn="ctr"/>
          <a:r>
            <a:rPr lang="pt-BR" sz="1050" b="1">
              <a:solidFill>
                <a:schemeClr val="bg1"/>
              </a:solidFill>
            </a:rPr>
            <a:t>PRODUTO</a:t>
          </a:r>
          <a:r>
            <a:rPr lang="pt-BR" sz="1050" b="1" baseline="0">
              <a:solidFill>
                <a:schemeClr val="bg1"/>
              </a:solidFill>
            </a:rPr>
            <a:t> DE LIMPEZA/ CLEANING PRODUCT</a:t>
          </a:r>
          <a:endParaRPr lang="pt-BR" sz="1050" b="1">
            <a:solidFill>
              <a:schemeClr val="bg1"/>
            </a:solidFill>
          </a:endParaRPr>
        </a:p>
      </xdr:txBody>
    </xdr:sp>
    <xdr:clientData/>
  </xdr:twoCellAnchor>
  <xdr:twoCellAnchor>
    <xdr:from>
      <xdr:col>0</xdr:col>
      <xdr:colOff>632460</xdr:colOff>
      <xdr:row>24</xdr:row>
      <xdr:rowOff>158749</xdr:rowOff>
    </xdr:from>
    <xdr:to>
      <xdr:col>1</xdr:col>
      <xdr:colOff>966835</xdr:colOff>
      <xdr:row>28</xdr:row>
      <xdr:rowOff>63749</xdr:rowOff>
    </xdr:to>
    <xdr:sp macro="" textlink="">
      <xdr:nvSpPr>
        <xdr:cNvPr id="10" name="Retângulo: Cantos Arredondados 9">
          <a:hlinkClick xmlns:r="http://schemas.openxmlformats.org/officeDocument/2006/relationships" r:id="rId8"/>
          <a:extLst>
            <a:ext uri="{FF2B5EF4-FFF2-40B4-BE49-F238E27FC236}">
              <a16:creationId xmlns:a16="http://schemas.microsoft.com/office/drawing/2014/main" xmlns="" id="{00000000-0008-0000-0000-00000A000000}"/>
            </a:ext>
          </a:extLst>
        </xdr:cNvPr>
        <xdr:cNvSpPr/>
      </xdr:nvSpPr>
      <xdr:spPr>
        <a:xfrm>
          <a:off x="632460" y="4873624"/>
          <a:ext cx="2160000"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lt1"/>
              </a:solidFill>
              <a:effectLst/>
              <a:latin typeface="+mn-lt"/>
              <a:ea typeface="+mn-ea"/>
              <a:cs typeface="+mn-cs"/>
            </a:rPr>
            <a:t>DESCARTE DE</a:t>
          </a:r>
          <a:r>
            <a:rPr lang="pt-BR" sz="1100" b="1" baseline="0">
              <a:solidFill>
                <a:schemeClr val="lt1"/>
              </a:solidFill>
              <a:effectLst/>
              <a:latin typeface="+mn-lt"/>
              <a:ea typeface="+mn-ea"/>
              <a:cs typeface="+mn-cs"/>
            </a:rPr>
            <a:t> </a:t>
          </a:r>
          <a:r>
            <a:rPr lang="pt-BR" sz="1100" b="1">
              <a:solidFill>
                <a:schemeClr val="lt1"/>
              </a:solidFill>
              <a:effectLst/>
              <a:latin typeface="+mn-lt"/>
              <a:ea typeface="+mn-ea"/>
              <a:cs typeface="+mn-cs"/>
            </a:rPr>
            <a:t>RESÍDUO/ WASTE DISPOSAL</a:t>
          </a:r>
          <a:endParaRPr lang="pt-BR" sz="1200" b="1">
            <a:solidFill>
              <a:schemeClr val="bg1"/>
            </a:solidFill>
          </a:endParaRPr>
        </a:p>
      </xdr:txBody>
    </xdr:sp>
    <xdr:clientData/>
  </xdr:twoCellAnchor>
  <xdr:twoCellAnchor>
    <xdr:from>
      <xdr:col>1</xdr:col>
      <xdr:colOff>1798320</xdr:colOff>
      <xdr:row>25</xdr:row>
      <xdr:rowOff>11430</xdr:rowOff>
    </xdr:from>
    <xdr:to>
      <xdr:col>1</xdr:col>
      <xdr:colOff>3958320</xdr:colOff>
      <xdr:row>28</xdr:row>
      <xdr:rowOff>75180</xdr:rowOff>
    </xdr:to>
    <xdr:sp macro="" textlink="">
      <xdr:nvSpPr>
        <xdr:cNvPr id="11" name="Retângulo: Cantos Arredondados 10">
          <a:hlinkClick xmlns:r="http://schemas.openxmlformats.org/officeDocument/2006/relationships" r:id="rId9"/>
          <a:extLst>
            <a:ext uri="{FF2B5EF4-FFF2-40B4-BE49-F238E27FC236}">
              <a16:creationId xmlns:a16="http://schemas.microsoft.com/office/drawing/2014/main" xmlns="" id="{00000000-0008-0000-0000-00000B000000}"/>
            </a:ext>
          </a:extLst>
        </xdr:cNvPr>
        <xdr:cNvSpPr/>
      </xdr:nvSpPr>
      <xdr:spPr>
        <a:xfrm>
          <a:off x="3623945" y="4885055"/>
          <a:ext cx="2160000"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700" b="1">
              <a:solidFill>
                <a:schemeClr val="lt1"/>
              </a:solidFill>
              <a:effectLst/>
              <a:latin typeface="+mn-lt"/>
              <a:ea typeface="+mn-ea"/>
              <a:cs typeface="+mn-cs"/>
            </a:rPr>
            <a:t>CALIBRAÇÃO E QUALIFICAÇÃO DE EQUIPAMENTOS/QUALIFICATION</a:t>
          </a:r>
          <a:r>
            <a:rPr lang="pt-BR" sz="700" b="1" baseline="0">
              <a:solidFill>
                <a:schemeClr val="lt1"/>
              </a:solidFill>
              <a:effectLst/>
              <a:latin typeface="+mn-lt"/>
              <a:ea typeface="+mn-ea"/>
              <a:cs typeface="+mn-cs"/>
            </a:rPr>
            <a:t> AND  CALIBRATION OF EQUIPMENT</a:t>
          </a:r>
          <a:endParaRPr lang="pt-BR" sz="800" b="1">
            <a:solidFill>
              <a:schemeClr val="bg1"/>
            </a:solidFill>
          </a:endParaRPr>
        </a:p>
      </xdr:txBody>
    </xdr:sp>
    <xdr:clientData/>
  </xdr:twoCellAnchor>
  <xdr:twoCellAnchor>
    <xdr:from>
      <xdr:col>1</xdr:col>
      <xdr:colOff>4602750</xdr:colOff>
      <xdr:row>25</xdr:row>
      <xdr:rowOff>15874</xdr:rowOff>
    </xdr:from>
    <xdr:to>
      <xdr:col>2</xdr:col>
      <xdr:colOff>1730375</xdr:colOff>
      <xdr:row>28</xdr:row>
      <xdr:rowOff>79624</xdr:rowOff>
    </xdr:to>
    <xdr:sp macro="" textlink="">
      <xdr:nvSpPr>
        <xdr:cNvPr id="14" name="Retângulo: Cantos Arredondados 13">
          <a:hlinkClick xmlns:r="http://schemas.openxmlformats.org/officeDocument/2006/relationships" r:id="rId10"/>
          <a:extLst>
            <a:ext uri="{FF2B5EF4-FFF2-40B4-BE49-F238E27FC236}">
              <a16:creationId xmlns:a16="http://schemas.microsoft.com/office/drawing/2014/main" xmlns="" id="{00000000-0008-0000-0000-00000E000000}"/>
            </a:ext>
          </a:extLst>
        </xdr:cNvPr>
        <xdr:cNvSpPr/>
      </xdr:nvSpPr>
      <xdr:spPr>
        <a:xfrm>
          <a:off x="6428375" y="4889499"/>
          <a:ext cx="2160000"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lt1"/>
              </a:solidFill>
              <a:effectLst/>
              <a:latin typeface="+mn-lt"/>
              <a:ea typeface="+mn-ea"/>
              <a:cs typeface="+mn-cs"/>
            </a:rPr>
            <a:t>MANUTENÇÃO/MAINTANANCE</a:t>
          </a:r>
          <a:endParaRPr lang="pt-BR" sz="1200" b="1">
            <a:solidFill>
              <a:schemeClr val="bg1"/>
            </a:solidFill>
          </a:endParaRPr>
        </a:p>
      </xdr:txBody>
    </xdr:sp>
    <xdr:clientData/>
  </xdr:twoCellAnchor>
  <xdr:twoCellAnchor>
    <xdr:from>
      <xdr:col>0</xdr:col>
      <xdr:colOff>638175</xdr:colOff>
      <xdr:row>30</xdr:row>
      <xdr:rowOff>8889</xdr:rowOff>
    </xdr:from>
    <xdr:to>
      <xdr:col>1</xdr:col>
      <xdr:colOff>970947</xdr:colOff>
      <xdr:row>33</xdr:row>
      <xdr:rowOff>72639</xdr:rowOff>
    </xdr:to>
    <xdr:sp macro="" textlink="">
      <xdr:nvSpPr>
        <xdr:cNvPr id="15" name="Retângulo: Cantos Arredondados 14">
          <a:hlinkClick xmlns:r="http://schemas.openxmlformats.org/officeDocument/2006/relationships" r:id="rId11"/>
          <a:extLst>
            <a:ext uri="{FF2B5EF4-FFF2-40B4-BE49-F238E27FC236}">
              <a16:creationId xmlns:a16="http://schemas.microsoft.com/office/drawing/2014/main" xmlns="" id="{00000000-0008-0000-0000-00000F000000}"/>
            </a:ext>
          </a:extLst>
        </xdr:cNvPr>
        <xdr:cNvSpPr/>
      </xdr:nvSpPr>
      <xdr:spPr>
        <a:xfrm>
          <a:off x="638175" y="5676264"/>
          <a:ext cx="2158397"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000" b="1">
              <a:solidFill>
                <a:schemeClr val="lt1"/>
              </a:solidFill>
              <a:effectLst/>
              <a:latin typeface="+mn-lt"/>
              <a:ea typeface="+mn-ea"/>
              <a:cs typeface="+mn-cs"/>
            </a:rPr>
            <a:t>TRANSPORTADORA/SHIPPING COMPANY</a:t>
          </a:r>
          <a:endParaRPr lang="pt-BR" sz="1000">
            <a:solidFill>
              <a:schemeClr val="lt1"/>
            </a:solidFill>
            <a:effectLst/>
            <a:latin typeface="+mn-lt"/>
            <a:ea typeface="+mn-ea"/>
            <a:cs typeface="+mn-cs"/>
          </a:endParaRPr>
        </a:p>
      </xdr:txBody>
    </xdr:sp>
    <xdr:clientData/>
  </xdr:twoCellAnchor>
  <xdr:twoCellAnchor>
    <xdr:from>
      <xdr:col>1</xdr:col>
      <xdr:colOff>1835785</xdr:colOff>
      <xdr:row>29</xdr:row>
      <xdr:rowOff>140017</xdr:rowOff>
    </xdr:from>
    <xdr:to>
      <xdr:col>1</xdr:col>
      <xdr:colOff>3995785</xdr:colOff>
      <xdr:row>33</xdr:row>
      <xdr:rowOff>45017</xdr:rowOff>
    </xdr:to>
    <xdr:sp macro="" textlink="">
      <xdr:nvSpPr>
        <xdr:cNvPr id="16" name="Retângulo: Cantos Arredondados 15">
          <a:hlinkClick xmlns:r="http://schemas.openxmlformats.org/officeDocument/2006/relationships" r:id="rId12"/>
          <a:extLst>
            <a:ext uri="{FF2B5EF4-FFF2-40B4-BE49-F238E27FC236}">
              <a16:creationId xmlns:a16="http://schemas.microsoft.com/office/drawing/2014/main" xmlns="" id="{00000000-0008-0000-0000-000010000000}"/>
            </a:ext>
          </a:extLst>
        </xdr:cNvPr>
        <xdr:cNvSpPr/>
      </xdr:nvSpPr>
      <xdr:spPr>
        <a:xfrm>
          <a:off x="3661410" y="5648642"/>
          <a:ext cx="2160000"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800" b="1">
              <a:solidFill>
                <a:schemeClr val="lt1"/>
              </a:solidFill>
              <a:effectLst/>
              <a:latin typeface="+mn-lt"/>
              <a:ea typeface="+mn-ea"/>
              <a:cs typeface="+mn-cs"/>
            </a:rPr>
            <a:t>AUDITORES EXTERNOS/EXTERNAL AUDITDS</a:t>
          </a:r>
          <a:endParaRPr lang="pt-BR" sz="800">
            <a:solidFill>
              <a:schemeClr val="lt1"/>
            </a:solidFill>
            <a:effectLst/>
            <a:latin typeface="+mn-lt"/>
            <a:ea typeface="+mn-ea"/>
            <a:cs typeface="+mn-cs"/>
          </a:endParaRPr>
        </a:p>
      </xdr:txBody>
    </xdr:sp>
    <xdr:clientData/>
  </xdr:twoCellAnchor>
  <xdr:twoCellAnchor>
    <xdr:from>
      <xdr:col>1</xdr:col>
      <xdr:colOff>4594813</xdr:colOff>
      <xdr:row>29</xdr:row>
      <xdr:rowOff>147954</xdr:rowOff>
    </xdr:from>
    <xdr:to>
      <xdr:col>2</xdr:col>
      <xdr:colOff>1722438</xdr:colOff>
      <xdr:row>33</xdr:row>
      <xdr:rowOff>52954</xdr:rowOff>
    </xdr:to>
    <xdr:sp macro="" textlink="">
      <xdr:nvSpPr>
        <xdr:cNvPr id="17" name="Retângulo: Cantos Arredondados 16">
          <a:hlinkClick xmlns:r="http://schemas.openxmlformats.org/officeDocument/2006/relationships" r:id="rId13"/>
          <a:extLst>
            <a:ext uri="{FF2B5EF4-FFF2-40B4-BE49-F238E27FC236}">
              <a16:creationId xmlns:a16="http://schemas.microsoft.com/office/drawing/2014/main" xmlns="" id="{00000000-0008-0000-0000-000011000000}"/>
            </a:ext>
          </a:extLst>
        </xdr:cNvPr>
        <xdr:cNvSpPr/>
      </xdr:nvSpPr>
      <xdr:spPr>
        <a:xfrm>
          <a:off x="6420438" y="5656579"/>
          <a:ext cx="2160000"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000" b="1">
              <a:solidFill>
                <a:schemeClr val="lt1"/>
              </a:solidFill>
              <a:effectLst/>
              <a:latin typeface="+mn-lt"/>
              <a:ea typeface="+mn-ea"/>
              <a:cs typeface="+mn-cs"/>
            </a:rPr>
            <a:t>LABORATÓRIO ANALÍTICO/ANALYTICAL LABORATORY</a:t>
          </a:r>
          <a:endParaRPr lang="pt-BR" sz="1000">
            <a:solidFill>
              <a:schemeClr val="lt1"/>
            </a:solidFill>
            <a:effectLst/>
            <a:latin typeface="+mn-lt"/>
            <a:ea typeface="+mn-ea"/>
            <a:cs typeface="+mn-cs"/>
          </a:endParaRPr>
        </a:p>
      </xdr:txBody>
    </xdr:sp>
    <xdr:clientData/>
  </xdr:twoCellAnchor>
  <xdr:twoCellAnchor>
    <xdr:from>
      <xdr:col>1</xdr:col>
      <xdr:colOff>3113405</xdr:colOff>
      <xdr:row>18</xdr:row>
      <xdr:rowOff>15876</xdr:rowOff>
    </xdr:from>
    <xdr:to>
      <xdr:col>2</xdr:col>
      <xdr:colOff>241030</xdr:colOff>
      <xdr:row>21</xdr:row>
      <xdr:rowOff>79626</xdr:rowOff>
    </xdr:to>
    <xdr:sp macro="" textlink="">
      <xdr:nvSpPr>
        <xdr:cNvPr id="20" name="Retângulo: Cantos Arredondados 19">
          <a:hlinkClick xmlns:r="http://schemas.openxmlformats.org/officeDocument/2006/relationships" r:id="rId14"/>
          <a:extLst>
            <a:ext uri="{FF2B5EF4-FFF2-40B4-BE49-F238E27FC236}">
              <a16:creationId xmlns:a16="http://schemas.microsoft.com/office/drawing/2014/main" xmlns="" id="{00000000-0008-0000-0000-000014000000}"/>
            </a:ext>
          </a:extLst>
        </xdr:cNvPr>
        <xdr:cNvSpPr/>
      </xdr:nvSpPr>
      <xdr:spPr>
        <a:xfrm>
          <a:off x="4939030" y="3603626"/>
          <a:ext cx="2160000"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algn="ctr"/>
          <a:r>
            <a:rPr lang="pt-BR" sz="1200" b="1">
              <a:solidFill>
                <a:schemeClr val="lt1"/>
              </a:solidFill>
              <a:effectLst/>
              <a:latin typeface="+mn-lt"/>
              <a:ea typeface="+mn-ea"/>
              <a:cs typeface="+mn-cs"/>
            </a:rPr>
            <a:t>EPI/ PPE </a:t>
          </a:r>
          <a:r>
            <a:rPr lang="pt-BR" sz="1200" b="1" baseline="0">
              <a:solidFill>
                <a:schemeClr val="bg1"/>
              </a:solidFill>
            </a:rPr>
            <a:t> </a:t>
          </a:r>
          <a:endParaRPr lang="pt-BR" sz="1200" b="1">
            <a:solidFill>
              <a:schemeClr val="bg1"/>
            </a:solidFill>
          </a:endParaRPr>
        </a:p>
      </xdr:txBody>
    </xdr:sp>
    <xdr:clientData/>
  </xdr:twoCellAnchor>
  <xdr:twoCellAnchor>
    <xdr:from>
      <xdr:col>0</xdr:col>
      <xdr:colOff>644207</xdr:colOff>
      <xdr:row>34</xdr:row>
      <xdr:rowOff>137478</xdr:rowOff>
    </xdr:from>
    <xdr:to>
      <xdr:col>1</xdr:col>
      <xdr:colOff>978582</xdr:colOff>
      <xdr:row>38</xdr:row>
      <xdr:rowOff>42478</xdr:rowOff>
    </xdr:to>
    <xdr:sp macro="" textlink="">
      <xdr:nvSpPr>
        <xdr:cNvPr id="21" name="Retângulo: Cantos Arredondados 20">
          <a:hlinkClick xmlns:r="http://schemas.openxmlformats.org/officeDocument/2006/relationships" r:id="rId15"/>
          <a:extLst>
            <a:ext uri="{FF2B5EF4-FFF2-40B4-BE49-F238E27FC236}">
              <a16:creationId xmlns:a16="http://schemas.microsoft.com/office/drawing/2014/main" xmlns="" id="{00000000-0008-0000-0000-000015000000}"/>
            </a:ext>
          </a:extLst>
        </xdr:cNvPr>
        <xdr:cNvSpPr/>
      </xdr:nvSpPr>
      <xdr:spPr>
        <a:xfrm>
          <a:off x="644207" y="6439853"/>
          <a:ext cx="2160000"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900" b="1">
              <a:solidFill>
                <a:schemeClr val="lt1"/>
              </a:solidFill>
              <a:effectLst/>
              <a:latin typeface="+mn-lt"/>
              <a:ea typeface="+mn-ea"/>
              <a:cs typeface="+mn-cs"/>
            </a:rPr>
            <a:t>DESPACHANTE ADUANEIRO/CUSTOM BROKER</a:t>
          </a:r>
          <a:endParaRPr lang="pt-BR" sz="900">
            <a:effectLst/>
          </a:endParaRPr>
        </a:p>
      </xdr:txBody>
    </xdr:sp>
    <xdr:clientData/>
  </xdr:twoCellAnchor>
  <xdr:twoCellAnchor>
    <xdr:from>
      <xdr:col>1</xdr:col>
      <xdr:colOff>47625</xdr:colOff>
      <xdr:row>5</xdr:row>
      <xdr:rowOff>19050</xdr:rowOff>
    </xdr:from>
    <xdr:to>
      <xdr:col>2</xdr:col>
      <xdr:colOff>83860</xdr:colOff>
      <xdr:row>6</xdr:row>
      <xdr:rowOff>322915</xdr:rowOff>
    </xdr:to>
    <xdr:sp macro="" textlink="">
      <xdr:nvSpPr>
        <xdr:cNvPr id="22" name="Retângulo: Cantos Arredondados 21">
          <a:hlinkClick xmlns:r="http://schemas.openxmlformats.org/officeDocument/2006/relationships" r:id="rId16"/>
          <a:extLst>
            <a:ext uri="{FF2B5EF4-FFF2-40B4-BE49-F238E27FC236}">
              <a16:creationId xmlns:a16="http://schemas.microsoft.com/office/drawing/2014/main" xmlns="" id="{00000000-0008-0000-0000-000016000000}"/>
            </a:ext>
          </a:extLst>
        </xdr:cNvPr>
        <xdr:cNvSpPr/>
      </xdr:nvSpPr>
      <xdr:spPr>
        <a:xfrm>
          <a:off x="1866900" y="933450"/>
          <a:ext cx="5048250" cy="59055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algn="ctr"/>
          <a:r>
            <a:rPr lang="pt-BR" sz="1200" b="1">
              <a:solidFill>
                <a:schemeClr val="bg1"/>
              </a:solidFill>
            </a:rPr>
            <a:t>1. ORIENTAÇÕES</a:t>
          </a:r>
          <a:r>
            <a:rPr lang="pt-BR" sz="1200" b="1" baseline="0">
              <a:solidFill>
                <a:schemeClr val="bg1"/>
              </a:solidFill>
            </a:rPr>
            <a:t> GERAIS/ GENERAL GUIDELINES</a:t>
          </a:r>
          <a:br>
            <a:rPr lang="pt-BR" sz="1200" b="1" baseline="0">
              <a:solidFill>
                <a:schemeClr val="bg1"/>
              </a:solidFill>
            </a:rPr>
          </a:br>
          <a:r>
            <a:rPr lang="pt-BR" sz="800" b="1" baseline="0">
              <a:solidFill>
                <a:schemeClr val="bg1"/>
              </a:solidFill>
            </a:rPr>
            <a:t> (LEIA ESTE ITEM ANTES DE INICAR O PREENCHIMENTO /READ THIS ITEM BEFORE STARTING THE COMPLETION )                               </a:t>
          </a:r>
          <a:endParaRPr lang="pt-BR" sz="800" b="1">
            <a:solidFill>
              <a:schemeClr val="bg1"/>
            </a:solidFill>
          </a:endParaRPr>
        </a:p>
      </xdr:txBody>
    </xdr:sp>
    <xdr:clientData/>
  </xdr:twoCellAnchor>
  <xdr:twoCellAnchor>
    <xdr:from>
      <xdr:col>1</xdr:col>
      <xdr:colOff>1836103</xdr:colOff>
      <xdr:row>34</xdr:row>
      <xdr:rowOff>140017</xdr:rowOff>
    </xdr:from>
    <xdr:to>
      <xdr:col>1</xdr:col>
      <xdr:colOff>3996103</xdr:colOff>
      <xdr:row>38</xdr:row>
      <xdr:rowOff>45017</xdr:rowOff>
    </xdr:to>
    <xdr:sp macro="" textlink="">
      <xdr:nvSpPr>
        <xdr:cNvPr id="2" name="Retângulo: Cantos Arredondados 1">
          <a:hlinkClick xmlns:r="http://schemas.openxmlformats.org/officeDocument/2006/relationships" r:id="rId17"/>
          <a:extLst>
            <a:ext uri="{FF2B5EF4-FFF2-40B4-BE49-F238E27FC236}">
              <a16:creationId xmlns:a16="http://schemas.microsoft.com/office/drawing/2014/main" xmlns="" id="{00000000-0008-0000-0000-000002000000}"/>
            </a:ext>
          </a:extLst>
        </xdr:cNvPr>
        <xdr:cNvSpPr/>
      </xdr:nvSpPr>
      <xdr:spPr>
        <a:xfrm>
          <a:off x="3661728" y="6442392"/>
          <a:ext cx="2160000"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000" b="1">
              <a:effectLst/>
            </a:rPr>
            <a:t>ARMAZÉM TERCEIRO/WAREHOUSE</a:t>
          </a:r>
        </a:p>
      </xdr:txBody>
    </xdr:sp>
    <xdr:clientData/>
  </xdr:twoCellAnchor>
  <xdr:twoCellAnchor>
    <xdr:from>
      <xdr:col>1</xdr:col>
      <xdr:colOff>4563063</xdr:colOff>
      <xdr:row>34</xdr:row>
      <xdr:rowOff>151447</xdr:rowOff>
    </xdr:from>
    <xdr:to>
      <xdr:col>2</xdr:col>
      <xdr:colOff>1690688</xdr:colOff>
      <xdr:row>38</xdr:row>
      <xdr:rowOff>56447</xdr:rowOff>
    </xdr:to>
    <xdr:sp macro="" textlink="">
      <xdr:nvSpPr>
        <xdr:cNvPr id="3" name="Retângulo: Cantos Arredondados 2">
          <a:hlinkClick xmlns:r="http://schemas.openxmlformats.org/officeDocument/2006/relationships" r:id="rId18"/>
          <a:extLst>
            <a:ext uri="{FF2B5EF4-FFF2-40B4-BE49-F238E27FC236}">
              <a16:creationId xmlns:a16="http://schemas.microsoft.com/office/drawing/2014/main" xmlns="" id="{00000000-0008-0000-0000-000003000000}"/>
            </a:ext>
          </a:extLst>
        </xdr:cNvPr>
        <xdr:cNvSpPr/>
      </xdr:nvSpPr>
      <xdr:spPr>
        <a:xfrm>
          <a:off x="6388688" y="6453822"/>
          <a:ext cx="2160000"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800" b="1">
              <a:effectLst/>
            </a:rPr>
            <a:t>CONTROLE DE PRAGAS/</a:t>
          </a:r>
          <a:r>
            <a:rPr lang="pt-BR" sz="800" b="1" baseline="0">
              <a:effectLst/>
            </a:rPr>
            <a:t> PEST CONTROL</a:t>
          </a:r>
        </a:p>
      </xdr:txBody>
    </xdr:sp>
    <xdr:clientData/>
  </xdr:twoCellAnchor>
  <xdr:twoCellAnchor>
    <xdr:from>
      <xdr:col>1</xdr:col>
      <xdr:colOff>4530723</xdr:colOff>
      <xdr:row>10</xdr:row>
      <xdr:rowOff>17460</xdr:rowOff>
    </xdr:from>
    <xdr:to>
      <xdr:col>2</xdr:col>
      <xdr:colOff>1658348</xdr:colOff>
      <xdr:row>13</xdr:row>
      <xdr:rowOff>81210</xdr:rowOff>
    </xdr:to>
    <xdr:sp macro="" textlink="">
      <xdr:nvSpPr>
        <xdr:cNvPr id="12" name="Retângulo: Cantos Arredondados 11">
          <a:hlinkClick xmlns:r="http://schemas.openxmlformats.org/officeDocument/2006/relationships" r:id="rId2"/>
          <a:extLst>
            <a:ext uri="{FF2B5EF4-FFF2-40B4-BE49-F238E27FC236}">
              <a16:creationId xmlns:a16="http://schemas.microsoft.com/office/drawing/2014/main" xmlns="" id="{00000000-0008-0000-0000-00000C000000}"/>
            </a:ext>
          </a:extLst>
        </xdr:cNvPr>
        <xdr:cNvSpPr/>
      </xdr:nvSpPr>
      <xdr:spPr>
        <a:xfrm>
          <a:off x="6356348" y="2335210"/>
          <a:ext cx="2160000" cy="54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algn="ctr"/>
          <a:r>
            <a:rPr lang="pt-BR" sz="1200" b="1">
              <a:solidFill>
                <a:schemeClr val="bg1"/>
              </a:solidFill>
            </a:rPr>
            <a:t>PRODUTOS IMPORTADOS /</a:t>
          </a:r>
          <a:r>
            <a:rPr lang="pt-BR" sz="1200" b="1" baseline="0">
              <a:solidFill>
                <a:schemeClr val="bg1"/>
              </a:solidFill>
            </a:rPr>
            <a:t> IMPORTED PRODUCTS</a:t>
          </a:r>
          <a:endParaRPr lang="pt-BR" sz="1200" b="1">
            <a:solidFill>
              <a:schemeClr val="bg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125731</xdr:colOff>
      <xdr:row>4</xdr:row>
      <xdr:rowOff>70485</xdr:rowOff>
    </xdr:from>
    <xdr:to>
      <xdr:col>3</xdr:col>
      <xdr:colOff>1796045</xdr:colOff>
      <xdr:row>6</xdr:row>
      <xdr:rowOff>1043</xdr:rowOff>
    </xdr:to>
    <xdr:sp macro="" textlink="">
      <xdr:nvSpPr>
        <xdr:cNvPr id="4" name="Retângulo: Cantos Arredondados 3">
          <a:hlinkClick xmlns:r="http://schemas.openxmlformats.org/officeDocument/2006/relationships" r:id="rId1"/>
          <a:extLst>
            <a:ext uri="{FF2B5EF4-FFF2-40B4-BE49-F238E27FC236}">
              <a16:creationId xmlns:a16="http://schemas.microsoft.com/office/drawing/2014/main" xmlns="" id="{00000000-0008-0000-0100-000004000000}"/>
            </a:ext>
          </a:extLst>
        </xdr:cNvPr>
        <xdr:cNvSpPr/>
      </xdr:nvSpPr>
      <xdr:spPr>
        <a:xfrm>
          <a:off x="5610226" y="704850"/>
          <a:ext cx="1428750" cy="24765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editAs="oneCell">
    <xdr:from>
      <xdr:col>0</xdr:col>
      <xdr:colOff>66674</xdr:colOff>
      <xdr:row>0</xdr:row>
      <xdr:rowOff>53487</xdr:rowOff>
    </xdr:from>
    <xdr:to>
      <xdr:col>0</xdr:col>
      <xdr:colOff>1857374</xdr:colOff>
      <xdr:row>3</xdr:row>
      <xdr:rowOff>148737</xdr:rowOff>
    </xdr:to>
    <xdr:pic>
      <xdr:nvPicPr>
        <xdr:cNvPr id="10092" name="Imagem 2">
          <a:extLst>
            <a:ext uri="{FF2B5EF4-FFF2-40B4-BE49-F238E27FC236}">
              <a16:creationId xmlns:a16="http://schemas.microsoft.com/office/drawing/2014/main" xmlns="" id="{00000000-0008-0000-0100-00006C27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674" y="53487"/>
          <a:ext cx="1790700" cy="578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0</xdr:row>
      <xdr:rowOff>85725</xdr:rowOff>
    </xdr:from>
    <xdr:to>
      <xdr:col>1</xdr:col>
      <xdr:colOff>1371600</xdr:colOff>
      <xdr:row>3</xdr:row>
      <xdr:rowOff>142875</xdr:rowOff>
    </xdr:to>
    <xdr:pic>
      <xdr:nvPicPr>
        <xdr:cNvPr id="61813" name="Imagem 1">
          <a:extLst>
            <a:ext uri="{FF2B5EF4-FFF2-40B4-BE49-F238E27FC236}">
              <a16:creationId xmlns:a16="http://schemas.microsoft.com/office/drawing/2014/main" xmlns="" id="{00000000-0008-0000-0200-000075F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5725"/>
          <a:ext cx="139065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131446</xdr:colOff>
      <xdr:row>4</xdr:row>
      <xdr:rowOff>100965</xdr:rowOff>
    </xdr:from>
    <xdr:to>
      <xdr:col>9</xdr:col>
      <xdr:colOff>682675</xdr:colOff>
      <xdr:row>5</xdr:row>
      <xdr:rowOff>51517</xdr:rowOff>
    </xdr:to>
    <xdr:sp macro="" textlink="">
      <xdr:nvSpPr>
        <xdr:cNvPr id="3" name="Retângulo: Cantos Arredondados 2">
          <a:hlinkClick xmlns:r="http://schemas.openxmlformats.org/officeDocument/2006/relationships" r:id="rId2"/>
          <a:extLst>
            <a:ext uri="{FF2B5EF4-FFF2-40B4-BE49-F238E27FC236}">
              <a16:creationId xmlns:a16="http://schemas.microsoft.com/office/drawing/2014/main" xmlns="" id="{00000000-0008-0000-0200-000003000000}"/>
            </a:ext>
          </a:extLst>
        </xdr:cNvPr>
        <xdr:cNvSpPr/>
      </xdr:nvSpPr>
      <xdr:spPr>
        <a:xfrm>
          <a:off x="8166736" y="735330"/>
          <a:ext cx="1691640" cy="321945"/>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xdr:from>
      <xdr:col>1</xdr:col>
      <xdr:colOff>194310</xdr:colOff>
      <xdr:row>7</xdr:row>
      <xdr:rowOff>40005</xdr:rowOff>
    </xdr:from>
    <xdr:to>
      <xdr:col>3</xdr:col>
      <xdr:colOff>194325</xdr:colOff>
      <xdr:row>9</xdr:row>
      <xdr:rowOff>3067</xdr:rowOff>
    </xdr:to>
    <xdr:sp macro="" textlink="">
      <xdr:nvSpPr>
        <xdr:cNvPr id="4" name="Retângulo: Cantos Arredondados 3">
          <a:extLst>
            <a:ext uri="{FF2B5EF4-FFF2-40B4-BE49-F238E27FC236}">
              <a16:creationId xmlns:a16="http://schemas.microsoft.com/office/drawing/2014/main" xmlns="" id="{00000000-0008-0000-0200-000004000000}"/>
            </a:ext>
          </a:extLst>
        </xdr:cNvPr>
        <xdr:cNvSpPr/>
      </xdr:nvSpPr>
      <xdr:spPr>
        <a:xfrm>
          <a:off x="464820" y="1093470"/>
          <a:ext cx="3211830" cy="290806"/>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bg1"/>
              </a:solidFill>
            </a:rPr>
            <a:t>DADOS</a:t>
          </a:r>
          <a:r>
            <a:rPr lang="pt-BR" sz="1100" b="1" baseline="0">
              <a:solidFill>
                <a:schemeClr val="bg1"/>
              </a:solidFill>
            </a:rPr>
            <a:t> DO FORNECEDOR/</a:t>
          </a:r>
          <a:r>
            <a:rPr lang="pt-BR" sz="1100" b="1">
              <a:solidFill>
                <a:schemeClr val="lt1"/>
              </a:solidFill>
              <a:effectLst/>
              <a:latin typeface="+mn-lt"/>
              <a:ea typeface="+mn-ea"/>
              <a:cs typeface="+mn-cs"/>
            </a:rPr>
            <a:t>SUPPLIER</a:t>
          </a:r>
          <a:r>
            <a:rPr lang="pt-BR" sz="1100" b="1" baseline="0">
              <a:solidFill>
                <a:schemeClr val="lt1"/>
              </a:solidFill>
              <a:effectLst/>
              <a:latin typeface="+mn-lt"/>
              <a:ea typeface="+mn-ea"/>
              <a:cs typeface="+mn-cs"/>
            </a:rPr>
            <a:t> DATA</a:t>
          </a:r>
          <a:endParaRPr lang="pt-BR" sz="1200">
            <a:effectLst/>
          </a:endParaRPr>
        </a:p>
        <a:p>
          <a:pPr algn="ctr"/>
          <a:endParaRPr lang="pt-BR" sz="1200" b="1">
            <a:solidFill>
              <a:schemeClr val="bg1"/>
            </a:solidFill>
          </a:endParaRPr>
        </a:p>
      </xdr:txBody>
    </xdr:sp>
    <xdr:clientData/>
  </xdr:twoCellAnchor>
  <xdr:twoCellAnchor>
    <xdr:from>
      <xdr:col>1</xdr:col>
      <xdr:colOff>177163</xdr:colOff>
      <xdr:row>19</xdr:row>
      <xdr:rowOff>3810</xdr:rowOff>
    </xdr:from>
    <xdr:to>
      <xdr:col>3</xdr:col>
      <xdr:colOff>325707</xdr:colOff>
      <xdr:row>20</xdr:row>
      <xdr:rowOff>155688</xdr:rowOff>
    </xdr:to>
    <xdr:sp macro="" textlink="">
      <xdr:nvSpPr>
        <xdr:cNvPr id="25" name="Retângulo: Cantos Arredondados 24">
          <a:extLst>
            <a:ext uri="{FF2B5EF4-FFF2-40B4-BE49-F238E27FC236}">
              <a16:creationId xmlns:a16="http://schemas.microsoft.com/office/drawing/2014/main" xmlns="" id="{00000000-0008-0000-0200-000019000000}"/>
            </a:ext>
          </a:extLst>
        </xdr:cNvPr>
        <xdr:cNvSpPr/>
      </xdr:nvSpPr>
      <xdr:spPr>
        <a:xfrm>
          <a:off x="441958" y="3476625"/>
          <a:ext cx="3310891" cy="279334"/>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bg1"/>
              </a:solidFill>
            </a:rPr>
            <a:t>LISTA</a:t>
          </a:r>
          <a:r>
            <a:rPr lang="pt-BR" sz="1100" b="1" baseline="0">
              <a:solidFill>
                <a:schemeClr val="bg1"/>
              </a:solidFill>
            </a:rPr>
            <a:t> DE DOCUMENTOS/</a:t>
          </a:r>
          <a:r>
            <a:rPr lang="pt-BR" sz="1100" b="1">
              <a:solidFill>
                <a:schemeClr val="lt1"/>
              </a:solidFill>
              <a:effectLst/>
              <a:latin typeface="+mn-lt"/>
              <a:ea typeface="+mn-ea"/>
              <a:cs typeface="+mn-cs"/>
            </a:rPr>
            <a:t>DOCUMENTS LIST</a:t>
          </a:r>
          <a:endParaRPr lang="pt-BR" sz="1100">
            <a:effectLst/>
          </a:endParaRPr>
        </a:p>
        <a:p>
          <a:pPr algn="ctr"/>
          <a:endParaRPr lang="pt-BR" sz="1200" b="1">
            <a:solidFill>
              <a:schemeClr val="bg1"/>
            </a:solidFill>
          </a:endParaRPr>
        </a:p>
      </xdr:txBody>
    </xdr:sp>
    <xdr:clientData/>
  </xdr:twoCellAnchor>
  <xdr:twoCellAnchor>
    <xdr:from>
      <xdr:col>1</xdr:col>
      <xdr:colOff>194309</xdr:colOff>
      <xdr:row>48</xdr:row>
      <xdr:rowOff>49530</xdr:rowOff>
    </xdr:from>
    <xdr:to>
      <xdr:col>3</xdr:col>
      <xdr:colOff>255290</xdr:colOff>
      <xdr:row>50</xdr:row>
      <xdr:rowOff>7579</xdr:rowOff>
    </xdr:to>
    <xdr:sp macro="" textlink="">
      <xdr:nvSpPr>
        <xdr:cNvPr id="26" name="Retângulo: Cantos Arredondados 25">
          <a:extLst>
            <a:ext uri="{FF2B5EF4-FFF2-40B4-BE49-F238E27FC236}">
              <a16:creationId xmlns:a16="http://schemas.microsoft.com/office/drawing/2014/main" xmlns="" id="{00000000-0008-0000-0200-00001A000000}"/>
            </a:ext>
          </a:extLst>
        </xdr:cNvPr>
        <xdr:cNvSpPr/>
      </xdr:nvSpPr>
      <xdr:spPr>
        <a:xfrm>
          <a:off x="464819" y="8496300"/>
          <a:ext cx="3259456" cy="268637"/>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bg1"/>
              </a:solidFill>
            </a:rPr>
            <a:t>QUESTIONÁRIO/</a:t>
          </a:r>
          <a:r>
            <a:rPr lang="pt-BR" sz="1100" b="1">
              <a:solidFill>
                <a:schemeClr val="lt1"/>
              </a:solidFill>
              <a:effectLst/>
              <a:latin typeface="+mn-lt"/>
              <a:ea typeface="+mn-ea"/>
              <a:cs typeface="+mn-cs"/>
            </a:rPr>
            <a:t>QUESTIONNAIRE</a:t>
          </a:r>
          <a:endParaRPr lang="pt-BR" sz="1100">
            <a:effectLst/>
          </a:endParaRPr>
        </a:p>
        <a:p>
          <a:pPr algn="ctr"/>
          <a:endParaRPr lang="pt-BR" sz="1200" b="1">
            <a:solidFill>
              <a:schemeClr val="bg1"/>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285750</xdr:colOff>
          <xdr:row>4</xdr:row>
          <xdr:rowOff>371475</xdr:rowOff>
        </xdr:from>
        <xdr:to>
          <xdr:col>5</xdr:col>
          <xdr:colOff>476250</xdr:colOff>
          <xdr:row>7</xdr:row>
          <xdr:rowOff>0</xdr:rowOff>
        </xdr:to>
        <xdr:sp macro="" textlink="">
          <xdr:nvSpPr>
            <xdr:cNvPr id="32967" name="Check Box 1223" hidden="1">
              <a:extLst>
                <a:ext uri="{63B3BB69-23CF-44E3-9099-C40C66FF867C}">
                  <a14:compatExt spid="_x0000_s3296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Inglês/English</a:t>
              </a:r>
            </a:p>
          </xdr:txBody>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0</xdr:col>
      <xdr:colOff>161925</xdr:colOff>
      <xdr:row>0</xdr:row>
      <xdr:rowOff>85725</xdr:rowOff>
    </xdr:from>
    <xdr:to>
      <xdr:col>1</xdr:col>
      <xdr:colOff>1371600</xdr:colOff>
      <xdr:row>3</xdr:row>
      <xdr:rowOff>142875</xdr:rowOff>
    </xdr:to>
    <xdr:pic>
      <xdr:nvPicPr>
        <xdr:cNvPr id="60795" name="Imagem 1">
          <a:extLst>
            <a:ext uri="{FF2B5EF4-FFF2-40B4-BE49-F238E27FC236}">
              <a16:creationId xmlns:a16="http://schemas.microsoft.com/office/drawing/2014/main" xmlns="" id="{00000000-0008-0000-0300-00007BE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5725"/>
          <a:ext cx="13906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234315</xdr:colOff>
      <xdr:row>4</xdr:row>
      <xdr:rowOff>100965</xdr:rowOff>
    </xdr:from>
    <xdr:to>
      <xdr:col>9</xdr:col>
      <xdr:colOff>323956</xdr:colOff>
      <xdr:row>5</xdr:row>
      <xdr:rowOff>1440</xdr:rowOff>
    </xdr:to>
    <xdr:sp macro="" textlink="">
      <xdr:nvSpPr>
        <xdr:cNvPr id="3" name="Retângulo: Cantos Arredondados 2">
          <a:hlinkClick xmlns:r="http://schemas.openxmlformats.org/officeDocument/2006/relationships" r:id="rId2"/>
          <a:extLst>
            <a:ext uri="{FF2B5EF4-FFF2-40B4-BE49-F238E27FC236}">
              <a16:creationId xmlns:a16="http://schemas.microsoft.com/office/drawing/2014/main" xmlns="" id="{00000000-0008-0000-0300-000003000000}"/>
            </a:ext>
          </a:extLst>
        </xdr:cNvPr>
        <xdr:cNvSpPr/>
      </xdr:nvSpPr>
      <xdr:spPr>
        <a:xfrm>
          <a:off x="8305800" y="735330"/>
          <a:ext cx="1304925" cy="245745"/>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xdr:from>
      <xdr:col>1</xdr:col>
      <xdr:colOff>194309</xdr:colOff>
      <xdr:row>7</xdr:row>
      <xdr:rowOff>47624</xdr:rowOff>
    </xdr:from>
    <xdr:to>
      <xdr:col>3</xdr:col>
      <xdr:colOff>354432</xdr:colOff>
      <xdr:row>8</xdr:row>
      <xdr:rowOff>110727</xdr:rowOff>
    </xdr:to>
    <xdr:sp macro="" textlink="">
      <xdr:nvSpPr>
        <xdr:cNvPr id="4" name="Retângulo: Cantos Arredondados 3">
          <a:extLst>
            <a:ext uri="{FF2B5EF4-FFF2-40B4-BE49-F238E27FC236}">
              <a16:creationId xmlns:a16="http://schemas.microsoft.com/office/drawing/2014/main" xmlns="" id="{00000000-0008-0000-0300-000004000000}"/>
            </a:ext>
          </a:extLst>
        </xdr:cNvPr>
        <xdr:cNvSpPr/>
      </xdr:nvSpPr>
      <xdr:spPr>
        <a:xfrm>
          <a:off x="464819" y="1160144"/>
          <a:ext cx="3621406" cy="230505"/>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lt1"/>
              </a:solidFill>
              <a:effectLst/>
              <a:latin typeface="+mn-lt"/>
              <a:ea typeface="+mn-ea"/>
              <a:cs typeface="+mn-cs"/>
            </a:rPr>
            <a:t>DADOS</a:t>
          </a:r>
          <a:r>
            <a:rPr lang="pt-BR" sz="1100" b="1" baseline="0">
              <a:solidFill>
                <a:schemeClr val="lt1"/>
              </a:solidFill>
              <a:effectLst/>
              <a:latin typeface="+mn-lt"/>
              <a:ea typeface="+mn-ea"/>
              <a:cs typeface="+mn-cs"/>
            </a:rPr>
            <a:t> DO FORNECEDOR/</a:t>
          </a:r>
          <a:r>
            <a:rPr lang="pt-BR" sz="1100" b="1">
              <a:solidFill>
                <a:schemeClr val="lt1"/>
              </a:solidFill>
              <a:effectLst/>
              <a:latin typeface="+mn-lt"/>
              <a:ea typeface="+mn-ea"/>
              <a:cs typeface="+mn-cs"/>
            </a:rPr>
            <a:t>SUPPLIER</a:t>
          </a:r>
          <a:r>
            <a:rPr lang="pt-BR" sz="1100" b="1" baseline="0">
              <a:solidFill>
                <a:schemeClr val="lt1"/>
              </a:solidFill>
              <a:effectLst/>
              <a:latin typeface="+mn-lt"/>
              <a:ea typeface="+mn-ea"/>
              <a:cs typeface="+mn-cs"/>
            </a:rPr>
            <a:t> DATA</a:t>
          </a:r>
          <a:endParaRPr lang="pt-BR" sz="1200">
            <a:effectLst/>
          </a:endParaRPr>
        </a:p>
        <a:p>
          <a:pPr algn="ctr"/>
          <a:endParaRPr lang="pt-BR" sz="1200" b="1">
            <a:solidFill>
              <a:schemeClr val="bg1"/>
            </a:solidFill>
          </a:endParaRPr>
        </a:p>
      </xdr:txBody>
    </xdr:sp>
    <xdr:clientData/>
  </xdr:twoCellAnchor>
  <xdr:twoCellAnchor>
    <xdr:from>
      <xdr:col>1</xdr:col>
      <xdr:colOff>177164</xdr:colOff>
      <xdr:row>19</xdr:row>
      <xdr:rowOff>11430</xdr:rowOff>
    </xdr:from>
    <xdr:to>
      <xdr:col>3</xdr:col>
      <xdr:colOff>331501</xdr:colOff>
      <xdr:row>20</xdr:row>
      <xdr:rowOff>109236</xdr:rowOff>
    </xdr:to>
    <xdr:sp macro="" textlink="">
      <xdr:nvSpPr>
        <xdr:cNvPr id="5" name="Retângulo: Cantos Arredondados 4">
          <a:extLst>
            <a:ext uri="{FF2B5EF4-FFF2-40B4-BE49-F238E27FC236}">
              <a16:creationId xmlns:a16="http://schemas.microsoft.com/office/drawing/2014/main" xmlns="" id="{00000000-0008-0000-0300-000005000000}"/>
            </a:ext>
          </a:extLst>
        </xdr:cNvPr>
        <xdr:cNvSpPr/>
      </xdr:nvSpPr>
      <xdr:spPr>
        <a:xfrm>
          <a:off x="441959" y="3543300"/>
          <a:ext cx="3634741" cy="238125"/>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lt1"/>
              </a:solidFill>
              <a:effectLst/>
              <a:latin typeface="+mn-lt"/>
              <a:ea typeface="+mn-ea"/>
              <a:cs typeface="+mn-cs"/>
            </a:rPr>
            <a:t>LISTA</a:t>
          </a:r>
          <a:r>
            <a:rPr lang="pt-BR" sz="1100" b="1" baseline="0">
              <a:solidFill>
                <a:schemeClr val="lt1"/>
              </a:solidFill>
              <a:effectLst/>
              <a:latin typeface="+mn-lt"/>
              <a:ea typeface="+mn-ea"/>
              <a:cs typeface="+mn-cs"/>
            </a:rPr>
            <a:t> DE DOCUMENTOS/</a:t>
          </a:r>
          <a:r>
            <a:rPr lang="pt-BR" sz="1100" b="1">
              <a:solidFill>
                <a:schemeClr val="lt1"/>
              </a:solidFill>
              <a:effectLst/>
              <a:latin typeface="+mn-lt"/>
              <a:ea typeface="+mn-ea"/>
              <a:cs typeface="+mn-cs"/>
            </a:rPr>
            <a:t>DOCUMENTS LIST</a:t>
          </a:r>
          <a:endParaRPr lang="pt-BR" sz="1200">
            <a:effectLst/>
          </a:endParaRPr>
        </a:p>
        <a:p>
          <a:pPr algn="ctr"/>
          <a:endParaRPr lang="pt-BR" sz="1200" b="1">
            <a:solidFill>
              <a:schemeClr val="bg1"/>
            </a:solidFill>
          </a:endParaRPr>
        </a:p>
      </xdr:txBody>
    </xdr:sp>
    <xdr:clientData/>
  </xdr:twoCellAnchor>
  <xdr:twoCellAnchor>
    <xdr:from>
      <xdr:col>1</xdr:col>
      <xdr:colOff>194310</xdr:colOff>
      <xdr:row>47</xdr:row>
      <xdr:rowOff>95250</xdr:rowOff>
    </xdr:from>
    <xdr:to>
      <xdr:col>2</xdr:col>
      <xdr:colOff>1674629</xdr:colOff>
      <xdr:row>49</xdr:row>
      <xdr:rowOff>120</xdr:rowOff>
    </xdr:to>
    <xdr:sp macro="" textlink="">
      <xdr:nvSpPr>
        <xdr:cNvPr id="6" name="Retângulo: Cantos Arredondados 5">
          <a:extLst>
            <a:ext uri="{FF2B5EF4-FFF2-40B4-BE49-F238E27FC236}">
              <a16:creationId xmlns:a16="http://schemas.microsoft.com/office/drawing/2014/main" xmlns="" id="{00000000-0008-0000-0300-000006000000}"/>
            </a:ext>
          </a:extLst>
        </xdr:cNvPr>
        <xdr:cNvSpPr/>
      </xdr:nvSpPr>
      <xdr:spPr>
        <a:xfrm>
          <a:off x="464820" y="10081260"/>
          <a:ext cx="2440305" cy="26303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lt1"/>
              </a:solidFill>
              <a:effectLst/>
              <a:latin typeface="+mn-lt"/>
              <a:ea typeface="+mn-ea"/>
              <a:cs typeface="+mn-cs"/>
            </a:rPr>
            <a:t>QUESTIONÁRIO/QUESTIONNAIRE</a:t>
          </a:r>
          <a:endParaRPr lang="pt-BR" sz="1200">
            <a:effectLst/>
          </a:endParaRPr>
        </a:p>
        <a:p>
          <a:pPr algn="ctr"/>
          <a:endParaRPr lang="pt-BR" sz="1200" b="1">
            <a:solidFill>
              <a:schemeClr val="bg1"/>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171450</xdr:colOff>
          <xdr:row>4</xdr:row>
          <xdr:rowOff>371475</xdr:rowOff>
        </xdr:from>
        <xdr:to>
          <xdr:col>5</xdr:col>
          <xdr:colOff>361950</xdr:colOff>
          <xdr:row>6</xdr:row>
          <xdr:rowOff>114300</xdr:rowOff>
        </xdr:to>
        <xdr:sp macro="" textlink="">
          <xdr:nvSpPr>
            <xdr:cNvPr id="32123" name="Check Box 1403" hidden="1">
              <a:extLst>
                <a:ext uri="{63B3BB69-23CF-44E3-9099-C40C66FF867C}">
                  <a14:compatExt spid="_x0000_s3212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Inglês/English</a:t>
              </a:r>
            </a:p>
          </xdr:txBody>
        </xdr:sp>
        <xdr:clientData fLock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0</xdr:col>
      <xdr:colOff>161925</xdr:colOff>
      <xdr:row>0</xdr:row>
      <xdr:rowOff>85725</xdr:rowOff>
    </xdr:from>
    <xdr:to>
      <xdr:col>1</xdr:col>
      <xdr:colOff>1371600</xdr:colOff>
      <xdr:row>3</xdr:row>
      <xdr:rowOff>142875</xdr:rowOff>
    </xdr:to>
    <xdr:pic>
      <xdr:nvPicPr>
        <xdr:cNvPr id="52673" name="Imagem 1">
          <a:extLst>
            <a:ext uri="{FF2B5EF4-FFF2-40B4-BE49-F238E27FC236}">
              <a16:creationId xmlns:a16="http://schemas.microsoft.com/office/drawing/2014/main" xmlns="" id="{00000000-0008-0000-0400-0000C1C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5725"/>
          <a:ext cx="13906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506730</xdr:colOff>
      <xdr:row>4</xdr:row>
      <xdr:rowOff>100965</xdr:rowOff>
    </xdr:from>
    <xdr:to>
      <xdr:col>9</xdr:col>
      <xdr:colOff>659004</xdr:colOff>
      <xdr:row>5</xdr:row>
      <xdr:rowOff>51509</xdr:rowOff>
    </xdr:to>
    <xdr:sp macro="" textlink="">
      <xdr:nvSpPr>
        <xdr:cNvPr id="3" name="Retângulo: Cantos Arredondados 2">
          <a:hlinkClick xmlns:r="http://schemas.openxmlformats.org/officeDocument/2006/relationships" r:id="rId2"/>
          <a:extLst>
            <a:ext uri="{FF2B5EF4-FFF2-40B4-BE49-F238E27FC236}">
              <a16:creationId xmlns:a16="http://schemas.microsoft.com/office/drawing/2014/main" xmlns="" id="{00000000-0008-0000-0400-000003000000}"/>
            </a:ext>
          </a:extLst>
        </xdr:cNvPr>
        <xdr:cNvSpPr/>
      </xdr:nvSpPr>
      <xdr:spPr>
        <a:xfrm>
          <a:off x="8955405" y="735330"/>
          <a:ext cx="1369695" cy="360045"/>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xdr:from>
      <xdr:col>1</xdr:col>
      <xdr:colOff>194309</xdr:colOff>
      <xdr:row>6</xdr:row>
      <xdr:rowOff>47625</xdr:rowOff>
    </xdr:from>
    <xdr:to>
      <xdr:col>2</xdr:col>
      <xdr:colOff>1983387</xdr:colOff>
      <xdr:row>8</xdr:row>
      <xdr:rowOff>2996</xdr:rowOff>
    </xdr:to>
    <xdr:sp macro="" textlink="">
      <xdr:nvSpPr>
        <xdr:cNvPr id="4" name="Retângulo: Cantos Arredondados 3">
          <a:extLst>
            <a:ext uri="{FF2B5EF4-FFF2-40B4-BE49-F238E27FC236}">
              <a16:creationId xmlns:a16="http://schemas.microsoft.com/office/drawing/2014/main" xmlns="" id="{00000000-0008-0000-0400-000004000000}"/>
            </a:ext>
          </a:extLst>
        </xdr:cNvPr>
        <xdr:cNvSpPr/>
      </xdr:nvSpPr>
      <xdr:spPr>
        <a:xfrm>
          <a:off x="464819" y="1226820"/>
          <a:ext cx="2687956" cy="290806"/>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DADOS</a:t>
          </a:r>
          <a:r>
            <a:rPr lang="pt-BR" sz="1100" b="1" baseline="0">
              <a:solidFill>
                <a:schemeClr val="lt1"/>
              </a:solidFill>
              <a:effectLst/>
              <a:latin typeface="+mn-lt"/>
              <a:ea typeface="+mn-ea"/>
              <a:cs typeface="+mn-cs"/>
            </a:rPr>
            <a:t> DO FORNECEDOR/</a:t>
          </a:r>
          <a:r>
            <a:rPr lang="pt-BR" sz="1100" b="1">
              <a:solidFill>
                <a:schemeClr val="lt1"/>
              </a:solidFill>
              <a:effectLst/>
              <a:latin typeface="+mn-lt"/>
              <a:ea typeface="+mn-ea"/>
              <a:cs typeface="+mn-cs"/>
            </a:rPr>
            <a:t>SUPPLIER</a:t>
          </a:r>
          <a:r>
            <a:rPr lang="pt-BR" sz="1100" b="1" baseline="0">
              <a:solidFill>
                <a:schemeClr val="lt1"/>
              </a:solidFill>
              <a:effectLst/>
              <a:latin typeface="+mn-lt"/>
              <a:ea typeface="+mn-ea"/>
              <a:cs typeface="+mn-cs"/>
            </a:rPr>
            <a:t> DATA</a:t>
          </a:r>
          <a:endParaRPr lang="pt-BR" sz="1200">
            <a:effectLst/>
          </a:endParaRPr>
        </a:p>
        <a:p>
          <a:pPr algn="ctr">
            <a:lnSpc>
              <a:spcPts val="1100"/>
            </a:lnSpc>
          </a:pPr>
          <a:endParaRPr lang="pt-BR" sz="1200" b="1">
            <a:solidFill>
              <a:schemeClr val="bg1"/>
            </a:solidFill>
          </a:endParaRPr>
        </a:p>
      </xdr:txBody>
    </xdr:sp>
    <xdr:clientData/>
  </xdr:twoCellAnchor>
  <xdr:twoCellAnchor>
    <xdr:from>
      <xdr:col>1</xdr:col>
      <xdr:colOff>177164</xdr:colOff>
      <xdr:row>17</xdr:row>
      <xdr:rowOff>11430</xdr:rowOff>
    </xdr:from>
    <xdr:to>
      <xdr:col>2</xdr:col>
      <xdr:colOff>2226033</xdr:colOff>
      <xdr:row>18</xdr:row>
      <xdr:rowOff>156824</xdr:rowOff>
    </xdr:to>
    <xdr:sp macro="" textlink="">
      <xdr:nvSpPr>
        <xdr:cNvPr id="5" name="Retângulo: Cantos Arredondados 4">
          <a:extLst>
            <a:ext uri="{FF2B5EF4-FFF2-40B4-BE49-F238E27FC236}">
              <a16:creationId xmlns:a16="http://schemas.microsoft.com/office/drawing/2014/main" xmlns="" id="{00000000-0008-0000-0400-000005000000}"/>
            </a:ext>
          </a:extLst>
        </xdr:cNvPr>
        <xdr:cNvSpPr/>
      </xdr:nvSpPr>
      <xdr:spPr>
        <a:xfrm>
          <a:off x="441959" y="3609975"/>
          <a:ext cx="2901316" cy="279334"/>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000"/>
            </a:lnSpc>
            <a:spcBef>
              <a:spcPts val="0"/>
            </a:spcBef>
            <a:spcAft>
              <a:spcPts val="0"/>
            </a:spcAft>
            <a:buClrTx/>
            <a:buSzTx/>
            <a:buFontTx/>
            <a:buNone/>
            <a:tabLst/>
            <a:defRPr/>
          </a:pPr>
          <a:r>
            <a:rPr lang="pt-BR" sz="1100" b="1">
              <a:solidFill>
                <a:schemeClr val="lt1"/>
              </a:solidFill>
              <a:effectLst/>
              <a:latin typeface="+mn-lt"/>
              <a:ea typeface="+mn-ea"/>
              <a:cs typeface="+mn-cs"/>
            </a:rPr>
            <a:t>LISTA</a:t>
          </a:r>
          <a:r>
            <a:rPr lang="pt-BR" sz="1100" b="1" baseline="0">
              <a:solidFill>
                <a:schemeClr val="lt1"/>
              </a:solidFill>
              <a:effectLst/>
              <a:latin typeface="+mn-lt"/>
              <a:ea typeface="+mn-ea"/>
              <a:cs typeface="+mn-cs"/>
            </a:rPr>
            <a:t> DE DOCUMENTOS/</a:t>
          </a:r>
          <a:r>
            <a:rPr lang="pt-BR" sz="1100" b="1">
              <a:solidFill>
                <a:schemeClr val="lt1"/>
              </a:solidFill>
              <a:effectLst/>
              <a:latin typeface="+mn-lt"/>
              <a:ea typeface="+mn-ea"/>
              <a:cs typeface="+mn-cs"/>
            </a:rPr>
            <a:t>DOCUMENTS LIST</a:t>
          </a:r>
          <a:endParaRPr lang="pt-BR" sz="1200">
            <a:effectLst/>
          </a:endParaRPr>
        </a:p>
        <a:p>
          <a:pPr algn="ctr">
            <a:lnSpc>
              <a:spcPts val="1200"/>
            </a:lnSpc>
          </a:pPr>
          <a:endParaRPr lang="pt-BR" sz="1200" b="1">
            <a:solidFill>
              <a:schemeClr val="bg1"/>
            </a:solidFill>
          </a:endParaRPr>
        </a:p>
      </xdr:txBody>
    </xdr:sp>
    <xdr:clientData/>
  </xdr:twoCellAnchor>
  <xdr:twoCellAnchor>
    <xdr:from>
      <xdr:col>1</xdr:col>
      <xdr:colOff>194310</xdr:colOff>
      <xdr:row>35</xdr:row>
      <xdr:rowOff>95250</xdr:rowOff>
    </xdr:from>
    <xdr:to>
      <xdr:col>2</xdr:col>
      <xdr:colOff>1389203</xdr:colOff>
      <xdr:row>37</xdr:row>
      <xdr:rowOff>120</xdr:rowOff>
    </xdr:to>
    <xdr:sp macro="" textlink="">
      <xdr:nvSpPr>
        <xdr:cNvPr id="6" name="Retângulo: Cantos Arredondados 5">
          <a:extLst>
            <a:ext uri="{FF2B5EF4-FFF2-40B4-BE49-F238E27FC236}">
              <a16:creationId xmlns:a16="http://schemas.microsoft.com/office/drawing/2014/main" xmlns="" id="{00000000-0008-0000-0400-000006000000}"/>
            </a:ext>
          </a:extLst>
        </xdr:cNvPr>
        <xdr:cNvSpPr/>
      </xdr:nvSpPr>
      <xdr:spPr>
        <a:xfrm>
          <a:off x="464820" y="7004685"/>
          <a:ext cx="2202180" cy="26303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QUESTIONÁRIO/QUESTIONNAIRE</a:t>
          </a:r>
          <a:endParaRPr lang="pt-BR" sz="1200">
            <a:effectLst/>
          </a:endParaRPr>
        </a:p>
        <a:p>
          <a:pPr algn="ctr">
            <a:lnSpc>
              <a:spcPts val="1100"/>
            </a:lnSpc>
          </a:pPr>
          <a:endParaRPr lang="pt-BR" sz="1200" b="1">
            <a:solidFill>
              <a:schemeClr val="bg1"/>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28575</xdr:colOff>
          <xdr:row>4</xdr:row>
          <xdr:rowOff>419100</xdr:rowOff>
        </xdr:from>
        <xdr:to>
          <xdr:col>5</xdr:col>
          <xdr:colOff>209550</xdr:colOff>
          <xdr:row>6</xdr:row>
          <xdr:rowOff>95250</xdr:rowOff>
        </xdr:to>
        <xdr:sp macro="" textlink="">
          <xdr:nvSpPr>
            <xdr:cNvPr id="52225" name="Check Box 1" hidden="1">
              <a:extLst>
                <a:ext uri="{63B3BB69-23CF-44E3-9099-C40C66FF867C}">
                  <a14:compatExt spid="_x0000_s5222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Inglês/English</a:t>
              </a:r>
            </a:p>
          </xdr:txBody>
        </xdr:sp>
        <xdr:clientData fLocksWithSheet="0"/>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0</xdr:col>
      <xdr:colOff>57150</xdr:colOff>
      <xdr:row>0</xdr:row>
      <xdr:rowOff>133350</xdr:rowOff>
    </xdr:from>
    <xdr:to>
      <xdr:col>1</xdr:col>
      <xdr:colOff>1200150</xdr:colOff>
      <xdr:row>3</xdr:row>
      <xdr:rowOff>190500</xdr:rowOff>
    </xdr:to>
    <xdr:pic>
      <xdr:nvPicPr>
        <xdr:cNvPr id="64868" name="Imagem 1">
          <a:extLst>
            <a:ext uri="{FF2B5EF4-FFF2-40B4-BE49-F238E27FC236}">
              <a16:creationId xmlns:a16="http://schemas.microsoft.com/office/drawing/2014/main" xmlns="" id="{00000000-0008-0000-0500-000064F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133350"/>
          <a:ext cx="144780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622936</xdr:colOff>
      <xdr:row>4</xdr:row>
      <xdr:rowOff>100965</xdr:rowOff>
    </xdr:from>
    <xdr:to>
      <xdr:col>9</xdr:col>
      <xdr:colOff>805843</xdr:colOff>
      <xdr:row>5</xdr:row>
      <xdr:rowOff>51551</xdr:rowOff>
    </xdr:to>
    <xdr:sp macro="" textlink="">
      <xdr:nvSpPr>
        <xdr:cNvPr id="3" name="Retângulo: Cantos Arredondados 2">
          <a:hlinkClick xmlns:r="http://schemas.openxmlformats.org/officeDocument/2006/relationships" r:id="rId2"/>
          <a:extLst>
            <a:ext uri="{FF2B5EF4-FFF2-40B4-BE49-F238E27FC236}">
              <a16:creationId xmlns:a16="http://schemas.microsoft.com/office/drawing/2014/main" xmlns="" id="{00000000-0008-0000-0500-000003000000}"/>
            </a:ext>
          </a:extLst>
        </xdr:cNvPr>
        <xdr:cNvSpPr/>
      </xdr:nvSpPr>
      <xdr:spPr>
        <a:xfrm>
          <a:off x="8652511" y="821055"/>
          <a:ext cx="1405890" cy="340995"/>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xdr:from>
      <xdr:col>1</xdr:col>
      <xdr:colOff>194310</xdr:colOff>
      <xdr:row>6</xdr:row>
      <xdr:rowOff>47625</xdr:rowOff>
    </xdr:from>
    <xdr:to>
      <xdr:col>2</xdr:col>
      <xdr:colOff>1987767</xdr:colOff>
      <xdr:row>8</xdr:row>
      <xdr:rowOff>2996</xdr:rowOff>
    </xdr:to>
    <xdr:sp macro="" textlink="">
      <xdr:nvSpPr>
        <xdr:cNvPr id="4" name="Retângulo: Cantos Arredondados 3">
          <a:extLst>
            <a:ext uri="{FF2B5EF4-FFF2-40B4-BE49-F238E27FC236}">
              <a16:creationId xmlns:a16="http://schemas.microsoft.com/office/drawing/2014/main" xmlns="" id="{00000000-0008-0000-0500-000004000000}"/>
            </a:ext>
          </a:extLst>
        </xdr:cNvPr>
        <xdr:cNvSpPr/>
      </xdr:nvSpPr>
      <xdr:spPr>
        <a:xfrm>
          <a:off x="464820" y="1293495"/>
          <a:ext cx="2678430" cy="290806"/>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DADOS</a:t>
          </a:r>
          <a:r>
            <a:rPr lang="pt-BR" sz="1100" b="1" baseline="0">
              <a:solidFill>
                <a:schemeClr val="lt1"/>
              </a:solidFill>
              <a:effectLst/>
              <a:latin typeface="+mn-lt"/>
              <a:ea typeface="+mn-ea"/>
              <a:cs typeface="+mn-cs"/>
            </a:rPr>
            <a:t> DO FORNECEDOR/</a:t>
          </a:r>
          <a:r>
            <a:rPr lang="pt-BR" sz="1100" b="1">
              <a:solidFill>
                <a:schemeClr val="lt1"/>
              </a:solidFill>
              <a:effectLst/>
              <a:latin typeface="+mn-lt"/>
              <a:ea typeface="+mn-ea"/>
              <a:cs typeface="+mn-cs"/>
            </a:rPr>
            <a:t>SUPPLIER</a:t>
          </a:r>
          <a:r>
            <a:rPr lang="pt-BR" sz="1100" b="1" baseline="0">
              <a:solidFill>
                <a:schemeClr val="lt1"/>
              </a:solidFill>
              <a:effectLst/>
              <a:latin typeface="+mn-lt"/>
              <a:ea typeface="+mn-ea"/>
              <a:cs typeface="+mn-cs"/>
            </a:rPr>
            <a:t> DATA</a:t>
          </a:r>
          <a:endParaRPr lang="pt-BR" sz="1200">
            <a:effectLst/>
          </a:endParaRPr>
        </a:p>
        <a:p>
          <a:pPr algn="ctr">
            <a:lnSpc>
              <a:spcPts val="1100"/>
            </a:lnSpc>
          </a:pPr>
          <a:endParaRPr lang="pt-BR" sz="1200" b="1">
            <a:solidFill>
              <a:schemeClr val="bg1"/>
            </a:solidFill>
          </a:endParaRPr>
        </a:p>
      </xdr:txBody>
    </xdr:sp>
    <xdr:clientData/>
  </xdr:twoCellAnchor>
  <xdr:twoCellAnchor>
    <xdr:from>
      <xdr:col>1</xdr:col>
      <xdr:colOff>177163</xdr:colOff>
      <xdr:row>17</xdr:row>
      <xdr:rowOff>47625</xdr:rowOff>
    </xdr:from>
    <xdr:to>
      <xdr:col>2</xdr:col>
      <xdr:colOff>2157369</xdr:colOff>
      <xdr:row>18</xdr:row>
      <xdr:rowOff>138185</xdr:rowOff>
    </xdr:to>
    <xdr:sp macro="" textlink="">
      <xdr:nvSpPr>
        <xdr:cNvPr id="5" name="Retângulo: Cantos Arredondados 4">
          <a:extLst>
            <a:ext uri="{FF2B5EF4-FFF2-40B4-BE49-F238E27FC236}">
              <a16:creationId xmlns:a16="http://schemas.microsoft.com/office/drawing/2014/main" xmlns="" id="{00000000-0008-0000-0500-000005000000}"/>
            </a:ext>
          </a:extLst>
        </xdr:cNvPr>
        <xdr:cNvSpPr/>
      </xdr:nvSpPr>
      <xdr:spPr>
        <a:xfrm>
          <a:off x="441958" y="3817620"/>
          <a:ext cx="2834642" cy="253929"/>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000"/>
            </a:lnSpc>
            <a:spcBef>
              <a:spcPts val="0"/>
            </a:spcBef>
            <a:spcAft>
              <a:spcPts val="0"/>
            </a:spcAft>
            <a:buClrTx/>
            <a:buSzTx/>
            <a:buFontTx/>
            <a:buNone/>
            <a:tabLst/>
            <a:defRPr/>
          </a:pPr>
          <a:r>
            <a:rPr lang="pt-BR" sz="1100" b="1">
              <a:solidFill>
                <a:schemeClr val="lt1"/>
              </a:solidFill>
              <a:effectLst/>
              <a:latin typeface="+mn-lt"/>
              <a:ea typeface="+mn-ea"/>
              <a:cs typeface="+mn-cs"/>
            </a:rPr>
            <a:t>LISTA</a:t>
          </a:r>
          <a:r>
            <a:rPr lang="pt-BR" sz="1100" b="1" baseline="0">
              <a:solidFill>
                <a:schemeClr val="lt1"/>
              </a:solidFill>
              <a:effectLst/>
              <a:latin typeface="+mn-lt"/>
              <a:ea typeface="+mn-ea"/>
              <a:cs typeface="+mn-cs"/>
            </a:rPr>
            <a:t> DE DOCUMENTOS/</a:t>
          </a:r>
          <a:r>
            <a:rPr lang="pt-BR" sz="1100" b="1">
              <a:solidFill>
                <a:schemeClr val="lt1"/>
              </a:solidFill>
              <a:effectLst/>
              <a:latin typeface="+mn-lt"/>
              <a:ea typeface="+mn-ea"/>
              <a:cs typeface="+mn-cs"/>
            </a:rPr>
            <a:t>DOCUMENTS LIST</a:t>
          </a:r>
          <a:endParaRPr lang="pt-BR" sz="1200">
            <a:effectLst/>
          </a:endParaRPr>
        </a:p>
        <a:p>
          <a:pPr algn="ctr">
            <a:lnSpc>
              <a:spcPts val="1200"/>
            </a:lnSpc>
          </a:pPr>
          <a:endParaRPr lang="pt-BR" sz="1200" b="1">
            <a:solidFill>
              <a:schemeClr val="bg1"/>
            </a:solidFill>
          </a:endParaRPr>
        </a:p>
      </xdr:txBody>
    </xdr:sp>
    <xdr:clientData/>
  </xdr:twoCellAnchor>
  <xdr:twoCellAnchor>
    <xdr:from>
      <xdr:col>1</xdr:col>
      <xdr:colOff>194309</xdr:colOff>
      <xdr:row>36</xdr:row>
      <xdr:rowOff>53340</xdr:rowOff>
    </xdr:from>
    <xdr:to>
      <xdr:col>2</xdr:col>
      <xdr:colOff>1338220</xdr:colOff>
      <xdr:row>37</xdr:row>
      <xdr:rowOff>156870</xdr:rowOff>
    </xdr:to>
    <xdr:sp macro="" textlink="">
      <xdr:nvSpPr>
        <xdr:cNvPr id="6" name="Retângulo: Cantos Arredondados 5">
          <a:extLst>
            <a:ext uri="{FF2B5EF4-FFF2-40B4-BE49-F238E27FC236}">
              <a16:creationId xmlns:a16="http://schemas.microsoft.com/office/drawing/2014/main" xmlns="" id="{00000000-0008-0000-0500-000006000000}"/>
            </a:ext>
          </a:extLst>
        </xdr:cNvPr>
        <xdr:cNvSpPr/>
      </xdr:nvSpPr>
      <xdr:spPr>
        <a:xfrm>
          <a:off x="464819" y="9677400"/>
          <a:ext cx="2154555" cy="261703"/>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QUESTIONÁRIO/QUESTIONNAIRE</a:t>
          </a:r>
          <a:endParaRPr lang="pt-BR" sz="1200">
            <a:effectLst/>
          </a:endParaRPr>
        </a:p>
        <a:p>
          <a:pPr algn="ctr">
            <a:lnSpc>
              <a:spcPts val="1100"/>
            </a:lnSpc>
          </a:pPr>
          <a:endParaRPr lang="pt-BR" sz="1200" b="1">
            <a:solidFill>
              <a:schemeClr val="bg1"/>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171450</xdr:colOff>
          <xdr:row>4</xdr:row>
          <xdr:rowOff>371475</xdr:rowOff>
        </xdr:from>
        <xdr:to>
          <xdr:col>5</xdr:col>
          <xdr:colOff>361950</xdr:colOff>
          <xdr:row>6</xdr:row>
          <xdr:rowOff>76200</xdr:rowOff>
        </xdr:to>
        <xdr:sp macro="" textlink="">
          <xdr:nvSpPr>
            <xdr:cNvPr id="34357" name="Check Box 1589" hidden="1">
              <a:extLst>
                <a:ext uri="{63B3BB69-23CF-44E3-9099-C40C66FF867C}">
                  <a14:compatExt spid="_x0000_s3435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Inglês/English</a:t>
              </a:r>
            </a:p>
          </xdr:txBody>
        </xdr:sp>
        <xdr:clientData fLock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0</xdr:col>
      <xdr:colOff>161925</xdr:colOff>
      <xdr:row>0</xdr:row>
      <xdr:rowOff>85725</xdr:rowOff>
    </xdr:from>
    <xdr:to>
      <xdr:col>1</xdr:col>
      <xdr:colOff>1371600</xdr:colOff>
      <xdr:row>3</xdr:row>
      <xdr:rowOff>142875</xdr:rowOff>
    </xdr:to>
    <xdr:pic>
      <xdr:nvPicPr>
        <xdr:cNvPr id="65891" name="Imagem 1">
          <a:extLst>
            <a:ext uri="{FF2B5EF4-FFF2-40B4-BE49-F238E27FC236}">
              <a16:creationId xmlns:a16="http://schemas.microsoft.com/office/drawing/2014/main" xmlns="" id="{00000000-0008-0000-0600-00006301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5725"/>
          <a:ext cx="13906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643890</xdr:colOff>
      <xdr:row>4</xdr:row>
      <xdr:rowOff>100965</xdr:rowOff>
    </xdr:from>
    <xdr:to>
      <xdr:col>10</xdr:col>
      <xdr:colOff>402</xdr:colOff>
      <xdr:row>6</xdr:row>
      <xdr:rowOff>40074</xdr:rowOff>
    </xdr:to>
    <xdr:sp macro="" textlink="">
      <xdr:nvSpPr>
        <xdr:cNvPr id="3" name="Retângulo: Cantos Arredondados 2">
          <a:hlinkClick xmlns:r="http://schemas.openxmlformats.org/officeDocument/2006/relationships" r:id="rId2"/>
          <a:extLst>
            <a:ext uri="{FF2B5EF4-FFF2-40B4-BE49-F238E27FC236}">
              <a16:creationId xmlns:a16="http://schemas.microsoft.com/office/drawing/2014/main" xmlns="" id="{00000000-0008-0000-0600-000003000000}"/>
            </a:ext>
          </a:extLst>
        </xdr:cNvPr>
        <xdr:cNvSpPr/>
      </xdr:nvSpPr>
      <xdr:spPr>
        <a:xfrm>
          <a:off x="7620000" y="819150"/>
          <a:ext cx="1800000" cy="27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xdr:from>
      <xdr:col>1</xdr:col>
      <xdr:colOff>194309</xdr:colOff>
      <xdr:row>6</xdr:row>
      <xdr:rowOff>40005</xdr:rowOff>
    </xdr:from>
    <xdr:to>
      <xdr:col>2</xdr:col>
      <xdr:colOff>2204729</xdr:colOff>
      <xdr:row>8</xdr:row>
      <xdr:rowOff>3067</xdr:rowOff>
    </xdr:to>
    <xdr:sp macro="" textlink="">
      <xdr:nvSpPr>
        <xdr:cNvPr id="4" name="Retângulo: Cantos Arredondados 3">
          <a:extLst>
            <a:ext uri="{FF2B5EF4-FFF2-40B4-BE49-F238E27FC236}">
              <a16:creationId xmlns:a16="http://schemas.microsoft.com/office/drawing/2014/main" xmlns="" id="{00000000-0008-0000-0600-000004000000}"/>
            </a:ext>
          </a:extLst>
        </xdr:cNvPr>
        <xdr:cNvSpPr/>
      </xdr:nvSpPr>
      <xdr:spPr>
        <a:xfrm>
          <a:off x="464819" y="1255395"/>
          <a:ext cx="2859406" cy="290806"/>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DADOS</a:t>
          </a:r>
          <a:r>
            <a:rPr lang="pt-BR" sz="1100" b="1" baseline="0">
              <a:solidFill>
                <a:schemeClr val="lt1"/>
              </a:solidFill>
              <a:effectLst/>
              <a:latin typeface="+mn-lt"/>
              <a:ea typeface="+mn-ea"/>
              <a:cs typeface="+mn-cs"/>
            </a:rPr>
            <a:t> DO FORNECEDOR/</a:t>
          </a:r>
          <a:r>
            <a:rPr lang="pt-BR" sz="1100" b="1">
              <a:solidFill>
                <a:schemeClr val="lt1"/>
              </a:solidFill>
              <a:effectLst/>
              <a:latin typeface="+mn-lt"/>
              <a:ea typeface="+mn-ea"/>
              <a:cs typeface="+mn-cs"/>
            </a:rPr>
            <a:t>SUPPLIER</a:t>
          </a:r>
          <a:r>
            <a:rPr lang="pt-BR" sz="1100" b="1" baseline="0">
              <a:solidFill>
                <a:schemeClr val="lt1"/>
              </a:solidFill>
              <a:effectLst/>
              <a:latin typeface="+mn-lt"/>
              <a:ea typeface="+mn-ea"/>
              <a:cs typeface="+mn-cs"/>
            </a:rPr>
            <a:t> DATA</a:t>
          </a:r>
          <a:endParaRPr lang="pt-BR" sz="1200">
            <a:effectLst/>
          </a:endParaRPr>
        </a:p>
        <a:p>
          <a:pPr algn="ctr">
            <a:lnSpc>
              <a:spcPts val="1100"/>
            </a:lnSpc>
          </a:pPr>
          <a:endParaRPr lang="pt-BR" sz="1200" b="1">
            <a:solidFill>
              <a:schemeClr val="bg1"/>
            </a:solidFill>
          </a:endParaRPr>
        </a:p>
      </xdr:txBody>
    </xdr:sp>
    <xdr:clientData/>
  </xdr:twoCellAnchor>
  <xdr:twoCellAnchor>
    <xdr:from>
      <xdr:col>1</xdr:col>
      <xdr:colOff>177164</xdr:colOff>
      <xdr:row>17</xdr:row>
      <xdr:rowOff>11430</xdr:rowOff>
    </xdr:from>
    <xdr:to>
      <xdr:col>2</xdr:col>
      <xdr:colOff>2203824</xdr:colOff>
      <xdr:row>18</xdr:row>
      <xdr:rowOff>155810</xdr:rowOff>
    </xdr:to>
    <xdr:sp macro="" textlink="">
      <xdr:nvSpPr>
        <xdr:cNvPr id="5" name="Retângulo: Cantos Arredondados 4">
          <a:extLst>
            <a:ext uri="{FF2B5EF4-FFF2-40B4-BE49-F238E27FC236}">
              <a16:creationId xmlns:a16="http://schemas.microsoft.com/office/drawing/2014/main" xmlns="" id="{00000000-0008-0000-0600-000005000000}"/>
            </a:ext>
          </a:extLst>
        </xdr:cNvPr>
        <xdr:cNvSpPr/>
      </xdr:nvSpPr>
      <xdr:spPr>
        <a:xfrm>
          <a:off x="441959" y="3638550"/>
          <a:ext cx="2882266" cy="279334"/>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lt1"/>
              </a:solidFill>
              <a:effectLst/>
              <a:latin typeface="+mn-lt"/>
              <a:ea typeface="+mn-ea"/>
              <a:cs typeface="+mn-cs"/>
            </a:rPr>
            <a:t>LISTA</a:t>
          </a:r>
          <a:r>
            <a:rPr lang="pt-BR" sz="1100" b="1" baseline="0">
              <a:solidFill>
                <a:schemeClr val="lt1"/>
              </a:solidFill>
              <a:effectLst/>
              <a:latin typeface="+mn-lt"/>
              <a:ea typeface="+mn-ea"/>
              <a:cs typeface="+mn-cs"/>
            </a:rPr>
            <a:t> DE DOCUMENTOS/</a:t>
          </a:r>
          <a:r>
            <a:rPr lang="pt-BR" sz="1100" b="1">
              <a:solidFill>
                <a:schemeClr val="lt1"/>
              </a:solidFill>
              <a:effectLst/>
              <a:latin typeface="+mn-lt"/>
              <a:ea typeface="+mn-ea"/>
              <a:cs typeface="+mn-cs"/>
            </a:rPr>
            <a:t>DOCUMENTS LIST</a:t>
          </a:r>
          <a:endParaRPr lang="pt-BR" sz="1200">
            <a:effectLst/>
          </a:endParaRPr>
        </a:p>
      </xdr:txBody>
    </xdr:sp>
    <xdr:clientData/>
  </xdr:twoCellAnchor>
  <xdr:twoCellAnchor>
    <xdr:from>
      <xdr:col>1</xdr:col>
      <xdr:colOff>194310</xdr:colOff>
      <xdr:row>32</xdr:row>
      <xdr:rowOff>95250</xdr:rowOff>
    </xdr:from>
    <xdr:to>
      <xdr:col>2</xdr:col>
      <xdr:colOff>1537648</xdr:colOff>
      <xdr:row>34</xdr:row>
      <xdr:rowOff>120</xdr:rowOff>
    </xdr:to>
    <xdr:sp macro="" textlink="">
      <xdr:nvSpPr>
        <xdr:cNvPr id="6" name="Retângulo: Cantos Arredondados 5">
          <a:extLst>
            <a:ext uri="{FF2B5EF4-FFF2-40B4-BE49-F238E27FC236}">
              <a16:creationId xmlns:a16="http://schemas.microsoft.com/office/drawing/2014/main" xmlns="" id="{00000000-0008-0000-0600-000006000000}"/>
            </a:ext>
          </a:extLst>
        </xdr:cNvPr>
        <xdr:cNvSpPr/>
      </xdr:nvSpPr>
      <xdr:spPr>
        <a:xfrm>
          <a:off x="464820" y="7623810"/>
          <a:ext cx="2326005" cy="26303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lt1"/>
              </a:solidFill>
              <a:effectLst/>
              <a:latin typeface="+mn-lt"/>
              <a:ea typeface="+mn-ea"/>
              <a:cs typeface="+mn-cs"/>
            </a:rPr>
            <a:t>QUESTIONÁRIO/QUESTIONNAIRE</a:t>
          </a:r>
          <a:endParaRPr lang="pt-BR" sz="1200">
            <a:effectLst/>
          </a:endParaRPr>
        </a:p>
        <a:p>
          <a:pPr algn="ctr"/>
          <a:endParaRPr lang="pt-BR" sz="1200" b="1">
            <a:solidFill>
              <a:schemeClr val="bg1"/>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171450</xdr:colOff>
          <xdr:row>4</xdr:row>
          <xdr:rowOff>371475</xdr:rowOff>
        </xdr:from>
        <xdr:to>
          <xdr:col>5</xdr:col>
          <xdr:colOff>361950</xdr:colOff>
          <xdr:row>6</xdr:row>
          <xdr:rowOff>114300</xdr:rowOff>
        </xdr:to>
        <xdr:sp macro="" textlink="">
          <xdr:nvSpPr>
            <xdr:cNvPr id="36397" name="Check Box 1581" hidden="1">
              <a:extLst>
                <a:ext uri="{63B3BB69-23CF-44E3-9099-C40C66FF867C}">
                  <a14:compatExt spid="_x0000_s3639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Inglês/English</a:t>
              </a:r>
            </a:p>
          </xdr:txBody>
        </xdr:sp>
        <xdr:clientData fLocksWithSheet="0"/>
      </xdr:twoCellAnchor>
    </mc:Choice>
    <mc:Fallback/>
  </mc:AlternateContent>
</xdr:wsDr>
</file>

<file path=xl/drawings/drawing8.xml><?xml version="1.0" encoding="utf-8"?>
<xdr:wsDr xmlns:xdr="http://schemas.openxmlformats.org/drawingml/2006/spreadsheetDrawing" xmlns:a="http://schemas.openxmlformats.org/drawingml/2006/main">
  <xdr:twoCellAnchor>
    <xdr:from>
      <xdr:col>0</xdr:col>
      <xdr:colOff>161925</xdr:colOff>
      <xdr:row>0</xdr:row>
      <xdr:rowOff>85725</xdr:rowOff>
    </xdr:from>
    <xdr:to>
      <xdr:col>1</xdr:col>
      <xdr:colOff>1371600</xdr:colOff>
      <xdr:row>3</xdr:row>
      <xdr:rowOff>142875</xdr:rowOff>
    </xdr:to>
    <xdr:pic>
      <xdr:nvPicPr>
        <xdr:cNvPr id="66918" name="Imagem 1">
          <a:extLst>
            <a:ext uri="{FF2B5EF4-FFF2-40B4-BE49-F238E27FC236}">
              <a16:creationId xmlns:a16="http://schemas.microsoft.com/office/drawing/2014/main" xmlns="" id="{00000000-0008-0000-0700-00006605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5725"/>
          <a:ext cx="13906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194310</xdr:colOff>
      <xdr:row>4</xdr:row>
      <xdr:rowOff>100965</xdr:rowOff>
    </xdr:from>
    <xdr:to>
      <xdr:col>9</xdr:col>
      <xdr:colOff>409719</xdr:colOff>
      <xdr:row>5</xdr:row>
      <xdr:rowOff>82324</xdr:rowOff>
    </xdr:to>
    <xdr:sp macro="" textlink="">
      <xdr:nvSpPr>
        <xdr:cNvPr id="3" name="Retângulo: Cantos Arredondados 2">
          <a:hlinkClick xmlns:r="http://schemas.openxmlformats.org/officeDocument/2006/relationships" r:id="rId2"/>
          <a:extLst>
            <a:ext uri="{FF2B5EF4-FFF2-40B4-BE49-F238E27FC236}">
              <a16:creationId xmlns:a16="http://schemas.microsoft.com/office/drawing/2014/main" xmlns="" id="{00000000-0008-0000-0700-000003000000}"/>
            </a:ext>
          </a:extLst>
        </xdr:cNvPr>
        <xdr:cNvSpPr/>
      </xdr:nvSpPr>
      <xdr:spPr>
        <a:xfrm>
          <a:off x="8288655" y="735330"/>
          <a:ext cx="1407796" cy="321945"/>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xdr:from>
      <xdr:col>1</xdr:col>
      <xdr:colOff>194310</xdr:colOff>
      <xdr:row>6</xdr:row>
      <xdr:rowOff>47625</xdr:rowOff>
    </xdr:from>
    <xdr:to>
      <xdr:col>2</xdr:col>
      <xdr:colOff>2022264</xdr:colOff>
      <xdr:row>8</xdr:row>
      <xdr:rowOff>2996</xdr:rowOff>
    </xdr:to>
    <xdr:sp macro="" textlink="">
      <xdr:nvSpPr>
        <xdr:cNvPr id="4" name="Retângulo: Cantos Arredondados 3">
          <a:extLst>
            <a:ext uri="{FF2B5EF4-FFF2-40B4-BE49-F238E27FC236}">
              <a16:creationId xmlns:a16="http://schemas.microsoft.com/office/drawing/2014/main" xmlns="" id="{00000000-0008-0000-0700-000004000000}"/>
            </a:ext>
          </a:extLst>
        </xdr:cNvPr>
        <xdr:cNvSpPr/>
      </xdr:nvSpPr>
      <xdr:spPr>
        <a:xfrm>
          <a:off x="464820" y="1160145"/>
          <a:ext cx="2697480" cy="290806"/>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DADOS</a:t>
          </a:r>
          <a:r>
            <a:rPr lang="pt-BR" sz="1100" b="1" baseline="0">
              <a:solidFill>
                <a:schemeClr val="lt1"/>
              </a:solidFill>
              <a:effectLst/>
              <a:latin typeface="+mn-lt"/>
              <a:ea typeface="+mn-ea"/>
              <a:cs typeface="+mn-cs"/>
            </a:rPr>
            <a:t> DO FORNECEDOR/</a:t>
          </a:r>
          <a:r>
            <a:rPr lang="pt-BR" sz="1100" b="1">
              <a:solidFill>
                <a:schemeClr val="lt1"/>
              </a:solidFill>
              <a:effectLst/>
              <a:latin typeface="+mn-lt"/>
              <a:ea typeface="+mn-ea"/>
              <a:cs typeface="+mn-cs"/>
            </a:rPr>
            <a:t>SUPPLIER</a:t>
          </a:r>
          <a:r>
            <a:rPr lang="pt-BR" sz="1100" b="1" baseline="0">
              <a:solidFill>
                <a:schemeClr val="lt1"/>
              </a:solidFill>
              <a:effectLst/>
              <a:latin typeface="+mn-lt"/>
              <a:ea typeface="+mn-ea"/>
              <a:cs typeface="+mn-cs"/>
            </a:rPr>
            <a:t> DATA</a:t>
          </a:r>
          <a:endParaRPr lang="pt-BR" sz="1200">
            <a:effectLst/>
          </a:endParaRPr>
        </a:p>
        <a:p>
          <a:pPr algn="ctr">
            <a:lnSpc>
              <a:spcPts val="1100"/>
            </a:lnSpc>
          </a:pPr>
          <a:endParaRPr lang="pt-BR" sz="1200" b="1">
            <a:solidFill>
              <a:schemeClr val="bg1"/>
            </a:solidFill>
          </a:endParaRPr>
        </a:p>
      </xdr:txBody>
    </xdr:sp>
    <xdr:clientData/>
  </xdr:twoCellAnchor>
  <xdr:twoCellAnchor>
    <xdr:from>
      <xdr:col>1</xdr:col>
      <xdr:colOff>177165</xdr:colOff>
      <xdr:row>17</xdr:row>
      <xdr:rowOff>11430</xdr:rowOff>
    </xdr:from>
    <xdr:to>
      <xdr:col>2</xdr:col>
      <xdr:colOff>2158711</xdr:colOff>
      <xdr:row>18</xdr:row>
      <xdr:rowOff>156824</xdr:rowOff>
    </xdr:to>
    <xdr:sp macro="" textlink="">
      <xdr:nvSpPr>
        <xdr:cNvPr id="5" name="Retângulo: Cantos Arredondados 4">
          <a:extLst>
            <a:ext uri="{FF2B5EF4-FFF2-40B4-BE49-F238E27FC236}">
              <a16:creationId xmlns:a16="http://schemas.microsoft.com/office/drawing/2014/main" xmlns="" id="{00000000-0008-0000-0700-000005000000}"/>
            </a:ext>
          </a:extLst>
        </xdr:cNvPr>
        <xdr:cNvSpPr/>
      </xdr:nvSpPr>
      <xdr:spPr>
        <a:xfrm>
          <a:off x="441960" y="3543300"/>
          <a:ext cx="2834640" cy="279334"/>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000"/>
            </a:lnSpc>
            <a:spcBef>
              <a:spcPts val="0"/>
            </a:spcBef>
            <a:spcAft>
              <a:spcPts val="0"/>
            </a:spcAft>
            <a:buClrTx/>
            <a:buSzTx/>
            <a:buFontTx/>
            <a:buNone/>
            <a:tabLst/>
            <a:defRPr/>
          </a:pPr>
          <a:r>
            <a:rPr lang="pt-BR" sz="1100" b="1">
              <a:solidFill>
                <a:schemeClr val="lt1"/>
              </a:solidFill>
              <a:effectLst/>
              <a:latin typeface="+mn-lt"/>
              <a:ea typeface="+mn-ea"/>
              <a:cs typeface="+mn-cs"/>
            </a:rPr>
            <a:t>LISTA</a:t>
          </a:r>
          <a:r>
            <a:rPr lang="pt-BR" sz="1100" b="1" baseline="0">
              <a:solidFill>
                <a:schemeClr val="lt1"/>
              </a:solidFill>
              <a:effectLst/>
              <a:latin typeface="+mn-lt"/>
              <a:ea typeface="+mn-ea"/>
              <a:cs typeface="+mn-cs"/>
            </a:rPr>
            <a:t> DE DOCUMENTOS/</a:t>
          </a:r>
          <a:r>
            <a:rPr lang="pt-BR" sz="1100" b="1">
              <a:solidFill>
                <a:schemeClr val="lt1"/>
              </a:solidFill>
              <a:effectLst/>
              <a:latin typeface="+mn-lt"/>
              <a:ea typeface="+mn-ea"/>
              <a:cs typeface="+mn-cs"/>
            </a:rPr>
            <a:t>DOCUMENTS LIST</a:t>
          </a:r>
          <a:endParaRPr lang="pt-BR" sz="1200">
            <a:effectLst/>
          </a:endParaRPr>
        </a:p>
        <a:p>
          <a:pPr algn="ctr">
            <a:lnSpc>
              <a:spcPts val="1200"/>
            </a:lnSpc>
          </a:pPr>
          <a:endParaRPr lang="pt-BR" sz="1200" b="1">
            <a:solidFill>
              <a:schemeClr val="bg1"/>
            </a:solidFill>
          </a:endParaRPr>
        </a:p>
      </xdr:txBody>
    </xdr:sp>
    <xdr:clientData/>
  </xdr:twoCellAnchor>
  <xdr:twoCellAnchor>
    <xdr:from>
      <xdr:col>1</xdr:col>
      <xdr:colOff>194309</xdr:colOff>
      <xdr:row>33</xdr:row>
      <xdr:rowOff>49530</xdr:rowOff>
    </xdr:from>
    <xdr:to>
      <xdr:col>2</xdr:col>
      <xdr:colOff>1852470</xdr:colOff>
      <xdr:row>35</xdr:row>
      <xdr:rowOff>7579</xdr:rowOff>
    </xdr:to>
    <xdr:sp macro="" textlink="">
      <xdr:nvSpPr>
        <xdr:cNvPr id="6" name="Retângulo: Cantos Arredondados 5">
          <a:extLst>
            <a:ext uri="{FF2B5EF4-FFF2-40B4-BE49-F238E27FC236}">
              <a16:creationId xmlns:a16="http://schemas.microsoft.com/office/drawing/2014/main" xmlns="" id="{00000000-0008-0000-0700-000006000000}"/>
            </a:ext>
          </a:extLst>
        </xdr:cNvPr>
        <xdr:cNvSpPr/>
      </xdr:nvSpPr>
      <xdr:spPr>
        <a:xfrm>
          <a:off x="464819" y="6000750"/>
          <a:ext cx="2573655" cy="268637"/>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lt1"/>
              </a:solidFill>
              <a:effectLst/>
              <a:latin typeface="+mn-lt"/>
              <a:ea typeface="+mn-ea"/>
              <a:cs typeface="+mn-cs"/>
            </a:rPr>
            <a:t>QUESTIONÁRIO/QUESTIONNAIRE</a:t>
          </a:r>
          <a:endParaRPr lang="pt-BR" sz="1200">
            <a:effectLst/>
          </a:endParaRPr>
        </a:p>
        <a:p>
          <a:pPr algn="ctr"/>
          <a:endParaRPr lang="pt-BR" sz="1200" b="1">
            <a:solidFill>
              <a:schemeClr val="bg1"/>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171450</xdr:colOff>
          <xdr:row>4</xdr:row>
          <xdr:rowOff>371475</xdr:rowOff>
        </xdr:from>
        <xdr:to>
          <xdr:col>5</xdr:col>
          <xdr:colOff>361950</xdr:colOff>
          <xdr:row>6</xdr:row>
          <xdr:rowOff>133350</xdr:rowOff>
        </xdr:to>
        <xdr:sp macro="" textlink="">
          <xdr:nvSpPr>
            <xdr:cNvPr id="37501" name="Check Box 1661" hidden="1">
              <a:extLst>
                <a:ext uri="{63B3BB69-23CF-44E3-9099-C40C66FF867C}">
                  <a14:compatExt spid="_x0000_s3750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Inglês/English</a:t>
              </a:r>
            </a:p>
          </xdr:txBody>
        </xdr:sp>
        <xdr:clientData fLocksWithSheet="0"/>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0</xdr:col>
      <xdr:colOff>161925</xdr:colOff>
      <xdr:row>0</xdr:row>
      <xdr:rowOff>85725</xdr:rowOff>
    </xdr:from>
    <xdr:to>
      <xdr:col>1</xdr:col>
      <xdr:colOff>1371600</xdr:colOff>
      <xdr:row>3</xdr:row>
      <xdr:rowOff>142875</xdr:rowOff>
    </xdr:to>
    <xdr:pic>
      <xdr:nvPicPr>
        <xdr:cNvPr id="63847" name="Imagem 1">
          <a:extLst>
            <a:ext uri="{FF2B5EF4-FFF2-40B4-BE49-F238E27FC236}">
              <a16:creationId xmlns:a16="http://schemas.microsoft.com/office/drawing/2014/main" xmlns="" id="{00000000-0008-0000-0800-000067F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5725"/>
          <a:ext cx="140970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687704</xdr:colOff>
      <xdr:row>4</xdr:row>
      <xdr:rowOff>100966</xdr:rowOff>
    </xdr:from>
    <xdr:to>
      <xdr:col>9</xdr:col>
      <xdr:colOff>737216</xdr:colOff>
      <xdr:row>5</xdr:row>
      <xdr:rowOff>55207</xdr:rowOff>
    </xdr:to>
    <xdr:sp macro="" textlink="">
      <xdr:nvSpPr>
        <xdr:cNvPr id="3" name="Retângulo: Cantos Arredondados 2">
          <a:hlinkClick xmlns:r="http://schemas.openxmlformats.org/officeDocument/2006/relationships" r:id="rId2"/>
          <a:extLst>
            <a:ext uri="{FF2B5EF4-FFF2-40B4-BE49-F238E27FC236}">
              <a16:creationId xmlns:a16="http://schemas.microsoft.com/office/drawing/2014/main" xmlns="" id="{00000000-0008-0000-0800-000003000000}"/>
            </a:ext>
          </a:extLst>
        </xdr:cNvPr>
        <xdr:cNvSpPr/>
      </xdr:nvSpPr>
      <xdr:spPr>
        <a:xfrm>
          <a:off x="8341994" y="735331"/>
          <a:ext cx="1287781" cy="31242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xdr:from>
      <xdr:col>1</xdr:col>
      <xdr:colOff>238125</xdr:colOff>
      <xdr:row>6</xdr:row>
      <xdr:rowOff>47625</xdr:rowOff>
    </xdr:from>
    <xdr:to>
      <xdr:col>3</xdr:col>
      <xdr:colOff>4227</xdr:colOff>
      <xdr:row>8</xdr:row>
      <xdr:rowOff>2996</xdr:rowOff>
    </xdr:to>
    <xdr:sp macro="" textlink="">
      <xdr:nvSpPr>
        <xdr:cNvPr id="4" name="Retângulo: Cantos Arredondados 3">
          <a:extLst>
            <a:ext uri="{FF2B5EF4-FFF2-40B4-BE49-F238E27FC236}">
              <a16:creationId xmlns:a16="http://schemas.microsoft.com/office/drawing/2014/main" xmlns="" id="{00000000-0008-0000-0800-000004000000}"/>
            </a:ext>
          </a:extLst>
        </xdr:cNvPr>
        <xdr:cNvSpPr/>
      </xdr:nvSpPr>
      <xdr:spPr>
        <a:xfrm>
          <a:off x="493395" y="1169670"/>
          <a:ext cx="2745105" cy="290806"/>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DADOS</a:t>
          </a:r>
          <a:r>
            <a:rPr lang="pt-BR" sz="1100" b="1" baseline="0">
              <a:solidFill>
                <a:schemeClr val="lt1"/>
              </a:solidFill>
              <a:effectLst/>
              <a:latin typeface="+mn-lt"/>
              <a:ea typeface="+mn-ea"/>
              <a:cs typeface="+mn-cs"/>
            </a:rPr>
            <a:t> DO FORNECEDOR/</a:t>
          </a:r>
          <a:r>
            <a:rPr lang="pt-BR" sz="1100" b="1">
              <a:solidFill>
                <a:schemeClr val="lt1"/>
              </a:solidFill>
              <a:effectLst/>
              <a:latin typeface="+mn-lt"/>
              <a:ea typeface="+mn-ea"/>
              <a:cs typeface="+mn-cs"/>
            </a:rPr>
            <a:t>SUPPLIER</a:t>
          </a:r>
          <a:r>
            <a:rPr lang="pt-BR" sz="1100" b="1" baseline="0">
              <a:solidFill>
                <a:schemeClr val="lt1"/>
              </a:solidFill>
              <a:effectLst/>
              <a:latin typeface="+mn-lt"/>
              <a:ea typeface="+mn-ea"/>
              <a:cs typeface="+mn-cs"/>
            </a:rPr>
            <a:t> DATA</a:t>
          </a:r>
          <a:endParaRPr lang="pt-BR" sz="1200">
            <a:effectLst/>
          </a:endParaRPr>
        </a:p>
        <a:p>
          <a:pPr algn="ctr">
            <a:lnSpc>
              <a:spcPts val="1100"/>
            </a:lnSpc>
          </a:pPr>
          <a:endParaRPr lang="pt-BR" sz="1200" b="1">
            <a:solidFill>
              <a:schemeClr val="bg1"/>
            </a:solidFill>
          </a:endParaRPr>
        </a:p>
      </xdr:txBody>
    </xdr:sp>
    <xdr:clientData/>
  </xdr:twoCellAnchor>
  <xdr:twoCellAnchor>
    <xdr:from>
      <xdr:col>1</xdr:col>
      <xdr:colOff>177164</xdr:colOff>
      <xdr:row>17</xdr:row>
      <xdr:rowOff>11430</xdr:rowOff>
    </xdr:from>
    <xdr:to>
      <xdr:col>2</xdr:col>
      <xdr:colOff>1910954</xdr:colOff>
      <xdr:row>18</xdr:row>
      <xdr:rowOff>156824</xdr:rowOff>
    </xdr:to>
    <xdr:sp macro="" textlink="">
      <xdr:nvSpPr>
        <xdr:cNvPr id="5" name="Retângulo: Cantos Arredondados 4">
          <a:extLst>
            <a:ext uri="{FF2B5EF4-FFF2-40B4-BE49-F238E27FC236}">
              <a16:creationId xmlns:a16="http://schemas.microsoft.com/office/drawing/2014/main" xmlns="" id="{00000000-0008-0000-0800-000005000000}"/>
            </a:ext>
          </a:extLst>
        </xdr:cNvPr>
        <xdr:cNvSpPr/>
      </xdr:nvSpPr>
      <xdr:spPr>
        <a:xfrm>
          <a:off x="441959" y="3552825"/>
          <a:ext cx="2806066" cy="279334"/>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000"/>
            </a:lnSpc>
            <a:spcBef>
              <a:spcPts val="0"/>
            </a:spcBef>
            <a:spcAft>
              <a:spcPts val="0"/>
            </a:spcAft>
            <a:buClrTx/>
            <a:buSzTx/>
            <a:buFontTx/>
            <a:buNone/>
            <a:tabLst/>
            <a:defRPr/>
          </a:pPr>
          <a:r>
            <a:rPr lang="pt-BR" sz="1100" b="1">
              <a:solidFill>
                <a:schemeClr val="lt1"/>
              </a:solidFill>
              <a:effectLst/>
              <a:latin typeface="+mn-lt"/>
              <a:ea typeface="+mn-ea"/>
              <a:cs typeface="+mn-cs"/>
            </a:rPr>
            <a:t>LISTA</a:t>
          </a:r>
          <a:r>
            <a:rPr lang="pt-BR" sz="1100" b="1" baseline="0">
              <a:solidFill>
                <a:schemeClr val="lt1"/>
              </a:solidFill>
              <a:effectLst/>
              <a:latin typeface="+mn-lt"/>
              <a:ea typeface="+mn-ea"/>
              <a:cs typeface="+mn-cs"/>
            </a:rPr>
            <a:t> DE DOCUMENTOS/</a:t>
          </a:r>
          <a:r>
            <a:rPr lang="pt-BR" sz="1100" b="1">
              <a:solidFill>
                <a:schemeClr val="lt1"/>
              </a:solidFill>
              <a:effectLst/>
              <a:latin typeface="+mn-lt"/>
              <a:ea typeface="+mn-ea"/>
              <a:cs typeface="+mn-cs"/>
            </a:rPr>
            <a:t>DOCUMENTS LIST</a:t>
          </a:r>
          <a:endParaRPr lang="pt-BR" sz="1200">
            <a:effectLst/>
          </a:endParaRPr>
        </a:p>
        <a:p>
          <a:pPr algn="ctr">
            <a:lnSpc>
              <a:spcPts val="1200"/>
            </a:lnSpc>
          </a:pPr>
          <a:endParaRPr lang="pt-BR" sz="1200" b="1">
            <a:solidFill>
              <a:schemeClr val="bg1"/>
            </a:solidFill>
          </a:endParaRPr>
        </a:p>
      </xdr:txBody>
    </xdr:sp>
    <xdr:clientData/>
  </xdr:twoCellAnchor>
  <xdr:twoCellAnchor>
    <xdr:from>
      <xdr:col>1</xdr:col>
      <xdr:colOff>175259</xdr:colOff>
      <xdr:row>36</xdr:row>
      <xdr:rowOff>78105</xdr:rowOff>
    </xdr:from>
    <xdr:to>
      <xdr:col>2</xdr:col>
      <xdr:colOff>1684971</xdr:colOff>
      <xdr:row>38</xdr:row>
      <xdr:rowOff>1785</xdr:rowOff>
    </xdr:to>
    <xdr:sp macro="" textlink="">
      <xdr:nvSpPr>
        <xdr:cNvPr id="6" name="Retângulo: Cantos Arredondados 5">
          <a:extLst>
            <a:ext uri="{FF2B5EF4-FFF2-40B4-BE49-F238E27FC236}">
              <a16:creationId xmlns:a16="http://schemas.microsoft.com/office/drawing/2014/main" xmlns="" id="{00000000-0008-0000-0800-000006000000}"/>
            </a:ext>
          </a:extLst>
        </xdr:cNvPr>
        <xdr:cNvSpPr/>
      </xdr:nvSpPr>
      <xdr:spPr>
        <a:xfrm>
          <a:off x="455294" y="10395585"/>
          <a:ext cx="2459355" cy="26303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lt1"/>
              </a:solidFill>
              <a:effectLst/>
              <a:latin typeface="+mn-lt"/>
              <a:ea typeface="+mn-ea"/>
              <a:cs typeface="+mn-cs"/>
            </a:rPr>
            <a:t>QUESTIONÁRIO/QUESTIONNAIRE</a:t>
          </a:r>
          <a:endParaRPr lang="pt-BR" sz="1200">
            <a:effectLst/>
          </a:endParaRPr>
        </a:p>
        <a:p>
          <a:pPr algn="ctr"/>
          <a:endParaRPr lang="pt-BR" sz="1200" b="1">
            <a:solidFill>
              <a:schemeClr val="bg1"/>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171450</xdr:colOff>
          <xdr:row>4</xdr:row>
          <xdr:rowOff>371475</xdr:rowOff>
        </xdr:from>
        <xdr:to>
          <xdr:col>5</xdr:col>
          <xdr:colOff>361950</xdr:colOff>
          <xdr:row>6</xdr:row>
          <xdr:rowOff>123825</xdr:rowOff>
        </xdr:to>
        <xdr:sp macro="" textlink="">
          <xdr:nvSpPr>
            <xdr:cNvPr id="39587" name="Check Box 1699" hidden="1">
              <a:extLst>
                <a:ext uri="{63B3BB69-23CF-44E3-9099-C40C66FF867C}">
                  <a14:compatExt spid="_x0000_s3958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Inglês/English</a:t>
              </a:r>
            </a:p>
          </xdr:txBody>
        </xdr:sp>
        <xdr:clientData fLocksWithSheet="0"/>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0</xdr:col>
      <xdr:colOff>161925</xdr:colOff>
      <xdr:row>0</xdr:row>
      <xdr:rowOff>85725</xdr:rowOff>
    </xdr:from>
    <xdr:to>
      <xdr:col>1</xdr:col>
      <xdr:colOff>1371600</xdr:colOff>
      <xdr:row>3</xdr:row>
      <xdr:rowOff>142875</xdr:rowOff>
    </xdr:to>
    <xdr:pic>
      <xdr:nvPicPr>
        <xdr:cNvPr id="62827" name="Imagem 1">
          <a:extLst>
            <a:ext uri="{FF2B5EF4-FFF2-40B4-BE49-F238E27FC236}">
              <a16:creationId xmlns:a16="http://schemas.microsoft.com/office/drawing/2014/main" xmlns="" id="{00000000-0008-0000-0900-00006BF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5725"/>
          <a:ext cx="13906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506730</xdr:colOff>
      <xdr:row>4</xdr:row>
      <xdr:rowOff>100965</xdr:rowOff>
    </xdr:from>
    <xdr:to>
      <xdr:col>10</xdr:col>
      <xdr:colOff>8078</xdr:colOff>
      <xdr:row>6</xdr:row>
      <xdr:rowOff>39999</xdr:rowOff>
    </xdr:to>
    <xdr:sp macro="" textlink="">
      <xdr:nvSpPr>
        <xdr:cNvPr id="3" name="Retângulo: Cantos Arredondados 2">
          <a:hlinkClick xmlns:r="http://schemas.openxmlformats.org/officeDocument/2006/relationships" r:id="rId2"/>
          <a:extLst>
            <a:ext uri="{FF2B5EF4-FFF2-40B4-BE49-F238E27FC236}">
              <a16:creationId xmlns:a16="http://schemas.microsoft.com/office/drawing/2014/main" xmlns="" id="{00000000-0008-0000-0900-000003000000}"/>
            </a:ext>
          </a:extLst>
        </xdr:cNvPr>
        <xdr:cNvSpPr/>
      </xdr:nvSpPr>
      <xdr:spPr>
        <a:xfrm>
          <a:off x="7029450" y="742950"/>
          <a:ext cx="1800000" cy="27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xdr:from>
      <xdr:col>1</xdr:col>
      <xdr:colOff>194309</xdr:colOff>
      <xdr:row>6</xdr:row>
      <xdr:rowOff>47625</xdr:rowOff>
    </xdr:from>
    <xdr:to>
      <xdr:col>2</xdr:col>
      <xdr:colOff>1983387</xdr:colOff>
      <xdr:row>8</xdr:row>
      <xdr:rowOff>2996</xdr:rowOff>
    </xdr:to>
    <xdr:sp macro="" textlink="">
      <xdr:nvSpPr>
        <xdr:cNvPr id="4" name="Retângulo: Cantos Arredondados 3">
          <a:extLst>
            <a:ext uri="{FF2B5EF4-FFF2-40B4-BE49-F238E27FC236}">
              <a16:creationId xmlns:a16="http://schemas.microsoft.com/office/drawing/2014/main" xmlns="" id="{00000000-0008-0000-0900-000004000000}"/>
            </a:ext>
          </a:extLst>
        </xdr:cNvPr>
        <xdr:cNvSpPr/>
      </xdr:nvSpPr>
      <xdr:spPr>
        <a:xfrm>
          <a:off x="464819" y="1226820"/>
          <a:ext cx="2687956" cy="290806"/>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DADOS</a:t>
          </a:r>
          <a:r>
            <a:rPr lang="pt-BR" sz="1100" b="1" baseline="0">
              <a:solidFill>
                <a:schemeClr val="lt1"/>
              </a:solidFill>
              <a:effectLst/>
              <a:latin typeface="+mn-lt"/>
              <a:ea typeface="+mn-ea"/>
              <a:cs typeface="+mn-cs"/>
            </a:rPr>
            <a:t> DO FORNECEDOR/</a:t>
          </a:r>
          <a:r>
            <a:rPr lang="pt-BR" sz="1100" b="1">
              <a:solidFill>
                <a:schemeClr val="lt1"/>
              </a:solidFill>
              <a:effectLst/>
              <a:latin typeface="+mn-lt"/>
              <a:ea typeface="+mn-ea"/>
              <a:cs typeface="+mn-cs"/>
            </a:rPr>
            <a:t>SUPPLIER</a:t>
          </a:r>
          <a:r>
            <a:rPr lang="pt-BR" sz="1100" b="1" baseline="0">
              <a:solidFill>
                <a:schemeClr val="lt1"/>
              </a:solidFill>
              <a:effectLst/>
              <a:latin typeface="+mn-lt"/>
              <a:ea typeface="+mn-ea"/>
              <a:cs typeface="+mn-cs"/>
            </a:rPr>
            <a:t> DATA</a:t>
          </a:r>
          <a:endParaRPr lang="pt-BR" sz="1200">
            <a:effectLst/>
          </a:endParaRPr>
        </a:p>
        <a:p>
          <a:pPr algn="ctr">
            <a:lnSpc>
              <a:spcPts val="1100"/>
            </a:lnSpc>
          </a:pPr>
          <a:endParaRPr lang="pt-BR" sz="1200" b="1">
            <a:solidFill>
              <a:schemeClr val="bg1"/>
            </a:solidFill>
          </a:endParaRPr>
        </a:p>
      </xdr:txBody>
    </xdr:sp>
    <xdr:clientData/>
  </xdr:twoCellAnchor>
  <xdr:twoCellAnchor>
    <xdr:from>
      <xdr:col>1</xdr:col>
      <xdr:colOff>177164</xdr:colOff>
      <xdr:row>17</xdr:row>
      <xdr:rowOff>11430</xdr:rowOff>
    </xdr:from>
    <xdr:to>
      <xdr:col>2</xdr:col>
      <xdr:colOff>2226033</xdr:colOff>
      <xdr:row>18</xdr:row>
      <xdr:rowOff>156824</xdr:rowOff>
    </xdr:to>
    <xdr:sp macro="" textlink="">
      <xdr:nvSpPr>
        <xdr:cNvPr id="5" name="Retângulo: Cantos Arredondados 4">
          <a:extLst>
            <a:ext uri="{FF2B5EF4-FFF2-40B4-BE49-F238E27FC236}">
              <a16:creationId xmlns:a16="http://schemas.microsoft.com/office/drawing/2014/main" xmlns="" id="{00000000-0008-0000-0900-000005000000}"/>
            </a:ext>
          </a:extLst>
        </xdr:cNvPr>
        <xdr:cNvSpPr/>
      </xdr:nvSpPr>
      <xdr:spPr>
        <a:xfrm>
          <a:off x="441959" y="3609975"/>
          <a:ext cx="2901316" cy="279334"/>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000"/>
            </a:lnSpc>
            <a:spcBef>
              <a:spcPts val="0"/>
            </a:spcBef>
            <a:spcAft>
              <a:spcPts val="0"/>
            </a:spcAft>
            <a:buClrTx/>
            <a:buSzTx/>
            <a:buFontTx/>
            <a:buNone/>
            <a:tabLst/>
            <a:defRPr/>
          </a:pPr>
          <a:r>
            <a:rPr lang="pt-BR" sz="1100" b="1">
              <a:solidFill>
                <a:schemeClr val="lt1"/>
              </a:solidFill>
              <a:effectLst/>
              <a:latin typeface="+mn-lt"/>
              <a:ea typeface="+mn-ea"/>
              <a:cs typeface="+mn-cs"/>
            </a:rPr>
            <a:t>LISTA</a:t>
          </a:r>
          <a:r>
            <a:rPr lang="pt-BR" sz="1100" b="1" baseline="0">
              <a:solidFill>
                <a:schemeClr val="lt1"/>
              </a:solidFill>
              <a:effectLst/>
              <a:latin typeface="+mn-lt"/>
              <a:ea typeface="+mn-ea"/>
              <a:cs typeface="+mn-cs"/>
            </a:rPr>
            <a:t> DE DOCUMENTOS/</a:t>
          </a:r>
          <a:r>
            <a:rPr lang="pt-BR" sz="1100" b="1">
              <a:solidFill>
                <a:schemeClr val="lt1"/>
              </a:solidFill>
              <a:effectLst/>
              <a:latin typeface="+mn-lt"/>
              <a:ea typeface="+mn-ea"/>
              <a:cs typeface="+mn-cs"/>
            </a:rPr>
            <a:t>DOCUMENTS LIST</a:t>
          </a:r>
          <a:endParaRPr lang="pt-BR" sz="1200">
            <a:effectLst/>
          </a:endParaRPr>
        </a:p>
        <a:p>
          <a:pPr algn="ctr">
            <a:lnSpc>
              <a:spcPts val="1200"/>
            </a:lnSpc>
          </a:pPr>
          <a:endParaRPr lang="pt-BR" sz="1200" b="1">
            <a:solidFill>
              <a:schemeClr val="bg1"/>
            </a:solidFill>
          </a:endParaRPr>
        </a:p>
      </xdr:txBody>
    </xdr:sp>
    <xdr:clientData/>
  </xdr:twoCellAnchor>
  <xdr:twoCellAnchor>
    <xdr:from>
      <xdr:col>1</xdr:col>
      <xdr:colOff>194310</xdr:colOff>
      <xdr:row>31</xdr:row>
      <xdr:rowOff>78105</xdr:rowOff>
    </xdr:from>
    <xdr:to>
      <xdr:col>2</xdr:col>
      <xdr:colOff>1389203</xdr:colOff>
      <xdr:row>33</xdr:row>
      <xdr:rowOff>1785</xdr:rowOff>
    </xdr:to>
    <xdr:sp macro="" textlink="">
      <xdr:nvSpPr>
        <xdr:cNvPr id="6" name="Retângulo: Cantos Arredondados 5">
          <a:extLst>
            <a:ext uri="{FF2B5EF4-FFF2-40B4-BE49-F238E27FC236}">
              <a16:creationId xmlns:a16="http://schemas.microsoft.com/office/drawing/2014/main" xmlns="" id="{00000000-0008-0000-0900-000006000000}"/>
            </a:ext>
          </a:extLst>
        </xdr:cNvPr>
        <xdr:cNvSpPr/>
      </xdr:nvSpPr>
      <xdr:spPr>
        <a:xfrm>
          <a:off x="464820" y="7214235"/>
          <a:ext cx="2202180" cy="26303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QUESTIONÁRIO/QUESTIONNAIRE</a:t>
          </a:r>
          <a:endParaRPr lang="pt-BR" sz="1200">
            <a:effectLst/>
          </a:endParaRPr>
        </a:p>
        <a:p>
          <a:pPr algn="ctr">
            <a:lnSpc>
              <a:spcPts val="1100"/>
            </a:lnSpc>
          </a:pPr>
          <a:endParaRPr lang="pt-BR" sz="1200" b="1">
            <a:solidFill>
              <a:schemeClr val="bg1"/>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28575</xdr:colOff>
          <xdr:row>4</xdr:row>
          <xdr:rowOff>419100</xdr:rowOff>
        </xdr:from>
        <xdr:to>
          <xdr:col>5</xdr:col>
          <xdr:colOff>209550</xdr:colOff>
          <xdr:row>6</xdr:row>
          <xdr:rowOff>95250</xdr:rowOff>
        </xdr:to>
        <xdr:sp macro="" textlink="">
          <xdr:nvSpPr>
            <xdr:cNvPr id="43715" name="Check Box 1731" hidden="1">
              <a:extLst>
                <a:ext uri="{63B3BB69-23CF-44E3-9099-C40C66FF867C}">
                  <a14:compatExt spid="_x0000_s4371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Inglês/English</a:t>
              </a:r>
            </a:p>
          </xdr:txBody>
        </xdr:sp>
        <xdr:clientData fLocksWithSheet="0"/>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0</xdr:col>
      <xdr:colOff>38100</xdr:colOff>
      <xdr:row>0</xdr:row>
      <xdr:rowOff>133350</xdr:rowOff>
    </xdr:from>
    <xdr:to>
      <xdr:col>1</xdr:col>
      <xdr:colOff>1219200</xdr:colOff>
      <xdr:row>3</xdr:row>
      <xdr:rowOff>190500</xdr:rowOff>
    </xdr:to>
    <xdr:pic>
      <xdr:nvPicPr>
        <xdr:cNvPr id="59776" name="Imagem 1">
          <a:extLst>
            <a:ext uri="{FF2B5EF4-FFF2-40B4-BE49-F238E27FC236}">
              <a16:creationId xmlns:a16="http://schemas.microsoft.com/office/drawing/2014/main" xmlns="" id="{00000000-0008-0000-0A00-000080E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133350"/>
          <a:ext cx="1343025" cy="523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499108</xdr:colOff>
      <xdr:row>4</xdr:row>
      <xdr:rowOff>100965</xdr:rowOff>
    </xdr:from>
    <xdr:to>
      <xdr:col>9</xdr:col>
      <xdr:colOff>459166</xdr:colOff>
      <xdr:row>5</xdr:row>
      <xdr:rowOff>3213</xdr:rowOff>
    </xdr:to>
    <xdr:sp macro="" textlink="">
      <xdr:nvSpPr>
        <xdr:cNvPr id="3" name="Retângulo: Cantos Arredondados 2">
          <a:hlinkClick xmlns:r="http://schemas.openxmlformats.org/officeDocument/2006/relationships" r:id="rId2"/>
          <a:extLst>
            <a:ext uri="{FF2B5EF4-FFF2-40B4-BE49-F238E27FC236}">
              <a16:creationId xmlns:a16="http://schemas.microsoft.com/office/drawing/2014/main" xmlns="" id="{00000000-0008-0000-0A00-000003000000}"/>
            </a:ext>
          </a:extLst>
        </xdr:cNvPr>
        <xdr:cNvSpPr/>
      </xdr:nvSpPr>
      <xdr:spPr>
        <a:xfrm>
          <a:off x="8162923" y="735330"/>
          <a:ext cx="1228727" cy="27432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xdr:from>
      <xdr:col>1</xdr:col>
      <xdr:colOff>194309</xdr:colOff>
      <xdr:row>6</xdr:row>
      <xdr:rowOff>47625</xdr:rowOff>
    </xdr:from>
    <xdr:to>
      <xdr:col>2</xdr:col>
      <xdr:colOff>2162863</xdr:colOff>
      <xdr:row>8</xdr:row>
      <xdr:rowOff>2996</xdr:rowOff>
    </xdr:to>
    <xdr:sp macro="" textlink="">
      <xdr:nvSpPr>
        <xdr:cNvPr id="4" name="Retângulo: Cantos Arredondados 3">
          <a:extLst>
            <a:ext uri="{FF2B5EF4-FFF2-40B4-BE49-F238E27FC236}">
              <a16:creationId xmlns:a16="http://schemas.microsoft.com/office/drawing/2014/main" xmlns="" id="{00000000-0008-0000-0A00-000004000000}"/>
            </a:ext>
          </a:extLst>
        </xdr:cNvPr>
        <xdr:cNvSpPr/>
      </xdr:nvSpPr>
      <xdr:spPr>
        <a:xfrm>
          <a:off x="464819" y="1312545"/>
          <a:ext cx="2649856" cy="290806"/>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lt1"/>
              </a:solidFill>
              <a:effectLst/>
              <a:latin typeface="+mn-lt"/>
              <a:ea typeface="+mn-ea"/>
              <a:cs typeface="+mn-cs"/>
            </a:rPr>
            <a:t>DADOS</a:t>
          </a:r>
          <a:r>
            <a:rPr lang="pt-BR" sz="1100" b="1" baseline="0">
              <a:solidFill>
                <a:schemeClr val="lt1"/>
              </a:solidFill>
              <a:effectLst/>
              <a:latin typeface="+mn-lt"/>
              <a:ea typeface="+mn-ea"/>
              <a:cs typeface="+mn-cs"/>
            </a:rPr>
            <a:t> DO FORNECEDOR/</a:t>
          </a:r>
          <a:r>
            <a:rPr lang="pt-BR" sz="1100" b="1">
              <a:solidFill>
                <a:schemeClr val="lt1"/>
              </a:solidFill>
              <a:effectLst/>
              <a:latin typeface="+mn-lt"/>
              <a:ea typeface="+mn-ea"/>
              <a:cs typeface="+mn-cs"/>
            </a:rPr>
            <a:t>SUPPLIER</a:t>
          </a:r>
          <a:r>
            <a:rPr lang="pt-BR" sz="1100" b="1" baseline="0">
              <a:solidFill>
                <a:schemeClr val="lt1"/>
              </a:solidFill>
              <a:effectLst/>
              <a:latin typeface="+mn-lt"/>
              <a:ea typeface="+mn-ea"/>
              <a:cs typeface="+mn-cs"/>
            </a:rPr>
            <a:t> DATA</a:t>
          </a:r>
          <a:endParaRPr lang="pt-BR" sz="1200">
            <a:effectLst/>
          </a:endParaRPr>
        </a:p>
        <a:p>
          <a:pPr algn="ctr"/>
          <a:endParaRPr lang="pt-BR" sz="1200" b="1">
            <a:solidFill>
              <a:schemeClr val="bg1"/>
            </a:solidFill>
          </a:endParaRPr>
        </a:p>
      </xdr:txBody>
    </xdr:sp>
    <xdr:clientData/>
  </xdr:twoCellAnchor>
  <xdr:twoCellAnchor>
    <xdr:from>
      <xdr:col>1</xdr:col>
      <xdr:colOff>177164</xdr:colOff>
      <xdr:row>17</xdr:row>
      <xdr:rowOff>11430</xdr:rowOff>
    </xdr:from>
    <xdr:to>
      <xdr:col>2</xdr:col>
      <xdr:colOff>2197675</xdr:colOff>
      <xdr:row>18</xdr:row>
      <xdr:rowOff>156824</xdr:rowOff>
    </xdr:to>
    <xdr:sp macro="" textlink="">
      <xdr:nvSpPr>
        <xdr:cNvPr id="5" name="Retângulo: Cantos Arredondados 4">
          <a:extLst>
            <a:ext uri="{FF2B5EF4-FFF2-40B4-BE49-F238E27FC236}">
              <a16:creationId xmlns:a16="http://schemas.microsoft.com/office/drawing/2014/main" xmlns="" id="{00000000-0008-0000-0A00-000005000000}"/>
            </a:ext>
          </a:extLst>
        </xdr:cNvPr>
        <xdr:cNvSpPr/>
      </xdr:nvSpPr>
      <xdr:spPr>
        <a:xfrm>
          <a:off x="441959" y="3695700"/>
          <a:ext cx="2739391" cy="279334"/>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lt1"/>
              </a:solidFill>
              <a:effectLst/>
              <a:latin typeface="+mn-lt"/>
              <a:ea typeface="+mn-ea"/>
              <a:cs typeface="+mn-cs"/>
            </a:rPr>
            <a:t>LISTA</a:t>
          </a:r>
          <a:r>
            <a:rPr lang="pt-BR" sz="1100" b="1" baseline="0">
              <a:solidFill>
                <a:schemeClr val="lt1"/>
              </a:solidFill>
              <a:effectLst/>
              <a:latin typeface="+mn-lt"/>
              <a:ea typeface="+mn-ea"/>
              <a:cs typeface="+mn-cs"/>
            </a:rPr>
            <a:t> DE DOCUMENTOS/</a:t>
          </a:r>
          <a:r>
            <a:rPr lang="pt-BR" sz="1100" b="1">
              <a:solidFill>
                <a:schemeClr val="lt1"/>
              </a:solidFill>
              <a:effectLst/>
              <a:latin typeface="+mn-lt"/>
              <a:ea typeface="+mn-ea"/>
              <a:cs typeface="+mn-cs"/>
            </a:rPr>
            <a:t>DOCUMENTS LIST</a:t>
          </a:r>
          <a:endParaRPr lang="pt-BR" sz="1200">
            <a:effectLst/>
          </a:endParaRPr>
        </a:p>
        <a:p>
          <a:pPr algn="ctr"/>
          <a:endParaRPr lang="pt-BR" sz="1200" b="1">
            <a:solidFill>
              <a:schemeClr val="bg1"/>
            </a:solidFill>
          </a:endParaRPr>
        </a:p>
      </xdr:txBody>
    </xdr:sp>
    <xdr:clientData/>
  </xdr:twoCellAnchor>
  <xdr:twoCellAnchor>
    <xdr:from>
      <xdr:col>1</xdr:col>
      <xdr:colOff>194310</xdr:colOff>
      <xdr:row>27</xdr:row>
      <xdr:rowOff>49530</xdr:rowOff>
    </xdr:from>
    <xdr:to>
      <xdr:col>2</xdr:col>
      <xdr:colOff>1512113</xdr:colOff>
      <xdr:row>29</xdr:row>
      <xdr:rowOff>3138</xdr:rowOff>
    </xdr:to>
    <xdr:sp macro="" textlink="">
      <xdr:nvSpPr>
        <xdr:cNvPr id="6" name="Retângulo: Cantos Arredondados 5">
          <a:extLst>
            <a:ext uri="{FF2B5EF4-FFF2-40B4-BE49-F238E27FC236}">
              <a16:creationId xmlns:a16="http://schemas.microsoft.com/office/drawing/2014/main" xmlns="" id="{00000000-0008-0000-0A00-000006000000}"/>
            </a:ext>
          </a:extLst>
        </xdr:cNvPr>
        <xdr:cNvSpPr/>
      </xdr:nvSpPr>
      <xdr:spPr>
        <a:xfrm>
          <a:off x="464820" y="5572125"/>
          <a:ext cx="2297430" cy="268637"/>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QUESTIONÁRIO/QUESTIONNAIRE</a:t>
          </a:r>
          <a:endParaRPr lang="pt-BR" sz="1200">
            <a:effectLst/>
          </a:endParaRPr>
        </a:p>
        <a:p>
          <a:pPr algn="ctr">
            <a:lnSpc>
              <a:spcPts val="1000"/>
            </a:lnSpc>
          </a:pPr>
          <a:endParaRPr lang="pt-BR" sz="1200" b="1">
            <a:solidFill>
              <a:schemeClr val="bg1"/>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285750</xdr:colOff>
          <xdr:row>4</xdr:row>
          <xdr:rowOff>400050</xdr:rowOff>
        </xdr:from>
        <xdr:to>
          <xdr:col>5</xdr:col>
          <xdr:colOff>476250</xdr:colOff>
          <xdr:row>5</xdr:row>
          <xdr:rowOff>323850</xdr:rowOff>
        </xdr:to>
        <xdr:sp macro="" textlink="">
          <xdr:nvSpPr>
            <xdr:cNvPr id="40716" name="Check Box 1804" hidden="1">
              <a:extLst>
                <a:ext uri="{63B3BB69-23CF-44E3-9099-C40C66FF867C}">
                  <a14:compatExt spid="_x0000_s4071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Inglês/English</a:t>
              </a:r>
            </a:p>
          </xdr:txBody>
        </xdr:sp>
        <xdr:clientData fLocksWithSheet="0"/>
      </xdr:twoCellAnchor>
    </mc:Choice>
    <mc:Fallback/>
  </mc:AlternateContent>
</xdr:wsDr>
</file>

<file path=xl/drawings/drawing12.xml><?xml version="1.0" encoding="utf-8"?>
<xdr:wsDr xmlns:xdr="http://schemas.openxmlformats.org/drawingml/2006/spreadsheetDrawing" xmlns:a="http://schemas.openxmlformats.org/drawingml/2006/main">
  <xdr:twoCellAnchor>
    <xdr:from>
      <xdr:col>0</xdr:col>
      <xdr:colOff>161925</xdr:colOff>
      <xdr:row>0</xdr:row>
      <xdr:rowOff>85725</xdr:rowOff>
    </xdr:from>
    <xdr:to>
      <xdr:col>1</xdr:col>
      <xdr:colOff>1371600</xdr:colOff>
      <xdr:row>3</xdr:row>
      <xdr:rowOff>142875</xdr:rowOff>
    </xdr:to>
    <xdr:pic>
      <xdr:nvPicPr>
        <xdr:cNvPr id="58761" name="Imagem 1">
          <a:extLst>
            <a:ext uri="{FF2B5EF4-FFF2-40B4-BE49-F238E27FC236}">
              <a16:creationId xmlns:a16="http://schemas.microsoft.com/office/drawing/2014/main" xmlns="" id="{00000000-0008-0000-0B00-000089E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5725"/>
          <a:ext cx="13906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521968</xdr:colOff>
      <xdr:row>4</xdr:row>
      <xdr:rowOff>100966</xdr:rowOff>
    </xdr:from>
    <xdr:to>
      <xdr:col>9</xdr:col>
      <xdr:colOff>699121</xdr:colOff>
      <xdr:row>5</xdr:row>
      <xdr:rowOff>41692</xdr:rowOff>
    </xdr:to>
    <xdr:sp macro="" textlink="">
      <xdr:nvSpPr>
        <xdr:cNvPr id="3" name="Retângulo: Cantos Arredondados 2">
          <a:hlinkClick xmlns:r="http://schemas.openxmlformats.org/officeDocument/2006/relationships" r:id="rId2"/>
          <a:extLst>
            <a:ext uri="{FF2B5EF4-FFF2-40B4-BE49-F238E27FC236}">
              <a16:creationId xmlns:a16="http://schemas.microsoft.com/office/drawing/2014/main" xmlns="" id="{00000000-0008-0000-0B00-000003000000}"/>
            </a:ext>
          </a:extLst>
        </xdr:cNvPr>
        <xdr:cNvSpPr/>
      </xdr:nvSpPr>
      <xdr:spPr>
        <a:xfrm>
          <a:off x="8193403" y="735331"/>
          <a:ext cx="1388747" cy="27432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xdr:from>
      <xdr:col>1</xdr:col>
      <xdr:colOff>194309</xdr:colOff>
      <xdr:row>6</xdr:row>
      <xdr:rowOff>47625</xdr:rowOff>
    </xdr:from>
    <xdr:to>
      <xdr:col>2</xdr:col>
      <xdr:colOff>1910433</xdr:colOff>
      <xdr:row>8</xdr:row>
      <xdr:rowOff>2996</xdr:rowOff>
    </xdr:to>
    <xdr:sp macro="" textlink="">
      <xdr:nvSpPr>
        <xdr:cNvPr id="4" name="Retângulo: Cantos Arredondados 3">
          <a:extLst>
            <a:ext uri="{FF2B5EF4-FFF2-40B4-BE49-F238E27FC236}">
              <a16:creationId xmlns:a16="http://schemas.microsoft.com/office/drawing/2014/main" xmlns="" id="{00000000-0008-0000-0B00-000004000000}"/>
            </a:ext>
          </a:extLst>
        </xdr:cNvPr>
        <xdr:cNvSpPr/>
      </xdr:nvSpPr>
      <xdr:spPr>
        <a:xfrm>
          <a:off x="464819" y="1150620"/>
          <a:ext cx="2735581" cy="290806"/>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DADOS</a:t>
          </a:r>
          <a:r>
            <a:rPr lang="pt-BR" sz="1100" b="1" baseline="0">
              <a:solidFill>
                <a:schemeClr val="lt1"/>
              </a:solidFill>
              <a:effectLst/>
              <a:latin typeface="+mn-lt"/>
              <a:ea typeface="+mn-ea"/>
              <a:cs typeface="+mn-cs"/>
            </a:rPr>
            <a:t> DO FORNECEDOR/</a:t>
          </a:r>
          <a:r>
            <a:rPr lang="pt-BR" sz="1100" b="1">
              <a:solidFill>
                <a:schemeClr val="lt1"/>
              </a:solidFill>
              <a:effectLst/>
              <a:latin typeface="+mn-lt"/>
              <a:ea typeface="+mn-ea"/>
              <a:cs typeface="+mn-cs"/>
            </a:rPr>
            <a:t>SUPPLIER</a:t>
          </a:r>
          <a:r>
            <a:rPr lang="pt-BR" sz="1100" b="1" baseline="0">
              <a:solidFill>
                <a:schemeClr val="lt1"/>
              </a:solidFill>
              <a:effectLst/>
              <a:latin typeface="+mn-lt"/>
              <a:ea typeface="+mn-ea"/>
              <a:cs typeface="+mn-cs"/>
            </a:rPr>
            <a:t> DATA</a:t>
          </a:r>
          <a:endParaRPr lang="pt-BR" sz="1200">
            <a:effectLst/>
          </a:endParaRPr>
        </a:p>
        <a:p>
          <a:pPr algn="ctr">
            <a:lnSpc>
              <a:spcPts val="1100"/>
            </a:lnSpc>
          </a:pPr>
          <a:endParaRPr lang="pt-BR" sz="1200" b="1">
            <a:solidFill>
              <a:schemeClr val="bg1"/>
            </a:solidFill>
          </a:endParaRPr>
        </a:p>
      </xdr:txBody>
    </xdr:sp>
    <xdr:clientData/>
  </xdr:twoCellAnchor>
  <xdr:twoCellAnchor>
    <xdr:from>
      <xdr:col>1</xdr:col>
      <xdr:colOff>177165</xdr:colOff>
      <xdr:row>17</xdr:row>
      <xdr:rowOff>11430</xdr:rowOff>
    </xdr:from>
    <xdr:to>
      <xdr:col>2</xdr:col>
      <xdr:colOff>1911260</xdr:colOff>
      <xdr:row>18</xdr:row>
      <xdr:rowOff>156824</xdr:rowOff>
    </xdr:to>
    <xdr:sp macro="" textlink="">
      <xdr:nvSpPr>
        <xdr:cNvPr id="5" name="Retângulo: Cantos Arredondados 4">
          <a:extLst>
            <a:ext uri="{FF2B5EF4-FFF2-40B4-BE49-F238E27FC236}">
              <a16:creationId xmlns:a16="http://schemas.microsoft.com/office/drawing/2014/main" xmlns="" id="{00000000-0008-0000-0B00-000005000000}"/>
            </a:ext>
          </a:extLst>
        </xdr:cNvPr>
        <xdr:cNvSpPr/>
      </xdr:nvSpPr>
      <xdr:spPr>
        <a:xfrm>
          <a:off x="441960" y="3533775"/>
          <a:ext cx="2720340" cy="279334"/>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lt1"/>
              </a:solidFill>
              <a:effectLst/>
              <a:latin typeface="+mn-lt"/>
              <a:ea typeface="+mn-ea"/>
              <a:cs typeface="+mn-cs"/>
            </a:rPr>
            <a:t>LISTA</a:t>
          </a:r>
          <a:r>
            <a:rPr lang="pt-BR" sz="1100" b="1" baseline="0">
              <a:solidFill>
                <a:schemeClr val="lt1"/>
              </a:solidFill>
              <a:effectLst/>
              <a:latin typeface="+mn-lt"/>
              <a:ea typeface="+mn-ea"/>
              <a:cs typeface="+mn-cs"/>
            </a:rPr>
            <a:t> DE DOCUMENTOS/</a:t>
          </a:r>
          <a:r>
            <a:rPr lang="pt-BR" sz="1100" b="1">
              <a:solidFill>
                <a:schemeClr val="lt1"/>
              </a:solidFill>
              <a:effectLst/>
              <a:latin typeface="+mn-lt"/>
              <a:ea typeface="+mn-ea"/>
              <a:cs typeface="+mn-cs"/>
            </a:rPr>
            <a:t>DOCUMENTS LIST</a:t>
          </a:r>
          <a:endParaRPr lang="pt-BR" sz="1200">
            <a:effectLst/>
          </a:endParaRPr>
        </a:p>
        <a:p>
          <a:pPr algn="ctr"/>
          <a:endParaRPr lang="pt-BR" sz="1200" b="1">
            <a:solidFill>
              <a:schemeClr val="bg1"/>
            </a:solidFill>
          </a:endParaRPr>
        </a:p>
      </xdr:txBody>
    </xdr:sp>
    <xdr:clientData/>
  </xdr:twoCellAnchor>
  <xdr:twoCellAnchor>
    <xdr:from>
      <xdr:col>1</xdr:col>
      <xdr:colOff>194309</xdr:colOff>
      <xdr:row>29</xdr:row>
      <xdr:rowOff>49530</xdr:rowOff>
    </xdr:from>
    <xdr:to>
      <xdr:col>2</xdr:col>
      <xdr:colOff>1638393</xdr:colOff>
      <xdr:row>31</xdr:row>
      <xdr:rowOff>3138</xdr:rowOff>
    </xdr:to>
    <xdr:sp macro="" textlink="">
      <xdr:nvSpPr>
        <xdr:cNvPr id="6" name="Retângulo: Cantos Arredondados 5">
          <a:extLst>
            <a:ext uri="{FF2B5EF4-FFF2-40B4-BE49-F238E27FC236}">
              <a16:creationId xmlns:a16="http://schemas.microsoft.com/office/drawing/2014/main" xmlns="" id="{00000000-0008-0000-0B00-000006000000}"/>
            </a:ext>
          </a:extLst>
        </xdr:cNvPr>
        <xdr:cNvSpPr/>
      </xdr:nvSpPr>
      <xdr:spPr>
        <a:xfrm>
          <a:off x="464819" y="5991225"/>
          <a:ext cx="2421256" cy="268637"/>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lt1"/>
              </a:solidFill>
              <a:effectLst/>
              <a:latin typeface="+mn-lt"/>
              <a:ea typeface="+mn-ea"/>
              <a:cs typeface="+mn-cs"/>
            </a:rPr>
            <a:t>QUESTIONÁRIO/QUESTIONNAIRE</a:t>
          </a:r>
          <a:endParaRPr lang="pt-BR" sz="1200">
            <a:effectLst/>
          </a:endParaRPr>
        </a:p>
        <a:p>
          <a:pPr algn="ctr"/>
          <a:endParaRPr lang="pt-BR" sz="1200" b="1">
            <a:solidFill>
              <a:schemeClr val="bg1"/>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285750</xdr:colOff>
          <xdr:row>4</xdr:row>
          <xdr:rowOff>409575</xdr:rowOff>
        </xdr:from>
        <xdr:to>
          <xdr:col>5</xdr:col>
          <xdr:colOff>476250</xdr:colOff>
          <xdr:row>6</xdr:row>
          <xdr:rowOff>161925</xdr:rowOff>
        </xdr:to>
        <xdr:sp macro="" textlink="">
          <xdr:nvSpPr>
            <xdr:cNvPr id="44925" name="Check Box 1917" hidden="1">
              <a:extLst>
                <a:ext uri="{63B3BB69-23CF-44E3-9099-C40C66FF867C}">
                  <a14:compatExt spid="_x0000_s4492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Inglês/English</a:t>
              </a:r>
            </a:p>
          </xdr:txBody>
        </xdr:sp>
        <xdr:clientData fLocksWithSheet="0"/>
      </xdr:twoCellAnchor>
    </mc:Choice>
    <mc:Fallback/>
  </mc:AlternateContent>
</xdr:wsDr>
</file>

<file path=xl/drawings/drawing13.xml><?xml version="1.0" encoding="utf-8"?>
<xdr:wsDr xmlns:xdr="http://schemas.openxmlformats.org/drawingml/2006/spreadsheetDrawing" xmlns:a="http://schemas.openxmlformats.org/drawingml/2006/main">
  <xdr:twoCellAnchor>
    <xdr:from>
      <xdr:col>0</xdr:col>
      <xdr:colOff>161925</xdr:colOff>
      <xdr:row>0</xdr:row>
      <xdr:rowOff>85725</xdr:rowOff>
    </xdr:from>
    <xdr:to>
      <xdr:col>1</xdr:col>
      <xdr:colOff>1362075</xdr:colOff>
      <xdr:row>3</xdr:row>
      <xdr:rowOff>142875</xdr:rowOff>
    </xdr:to>
    <xdr:pic>
      <xdr:nvPicPr>
        <xdr:cNvPr id="67924" name="Imagem 1">
          <a:extLst>
            <a:ext uri="{FF2B5EF4-FFF2-40B4-BE49-F238E27FC236}">
              <a16:creationId xmlns:a16="http://schemas.microsoft.com/office/drawing/2014/main" xmlns="" id="{00000000-0008-0000-0C00-0000540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5725"/>
          <a:ext cx="125730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685800</xdr:colOff>
      <xdr:row>4</xdr:row>
      <xdr:rowOff>102871</xdr:rowOff>
    </xdr:from>
    <xdr:to>
      <xdr:col>10</xdr:col>
      <xdr:colOff>49793</xdr:colOff>
      <xdr:row>5</xdr:row>
      <xdr:rowOff>108687</xdr:rowOff>
    </xdr:to>
    <xdr:sp macro="" textlink="">
      <xdr:nvSpPr>
        <xdr:cNvPr id="3" name="Retângulo: Cantos Arredondados 2">
          <a:hlinkClick xmlns:r="http://schemas.openxmlformats.org/officeDocument/2006/relationships" r:id="rId2"/>
          <a:extLst>
            <a:ext uri="{FF2B5EF4-FFF2-40B4-BE49-F238E27FC236}">
              <a16:creationId xmlns:a16="http://schemas.microsoft.com/office/drawing/2014/main" xmlns="" id="{00000000-0008-0000-0C00-000003000000}"/>
            </a:ext>
          </a:extLst>
        </xdr:cNvPr>
        <xdr:cNvSpPr/>
      </xdr:nvSpPr>
      <xdr:spPr>
        <a:xfrm>
          <a:off x="8646795" y="742951"/>
          <a:ext cx="1754451" cy="32385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xdr:from>
      <xdr:col>1</xdr:col>
      <xdr:colOff>232410</xdr:colOff>
      <xdr:row>6</xdr:row>
      <xdr:rowOff>11430</xdr:rowOff>
    </xdr:from>
    <xdr:to>
      <xdr:col>3</xdr:col>
      <xdr:colOff>5567</xdr:colOff>
      <xdr:row>8</xdr:row>
      <xdr:rowOff>17131</xdr:rowOff>
    </xdr:to>
    <xdr:sp macro="" textlink="">
      <xdr:nvSpPr>
        <xdr:cNvPr id="4" name="Retângulo: Cantos Arredondados 3">
          <a:extLst>
            <a:ext uri="{FF2B5EF4-FFF2-40B4-BE49-F238E27FC236}">
              <a16:creationId xmlns:a16="http://schemas.microsoft.com/office/drawing/2014/main" xmlns="" id="{00000000-0008-0000-0C00-000004000000}"/>
            </a:ext>
          </a:extLst>
        </xdr:cNvPr>
        <xdr:cNvSpPr/>
      </xdr:nvSpPr>
      <xdr:spPr>
        <a:xfrm>
          <a:off x="474345" y="990600"/>
          <a:ext cx="2964180" cy="308596"/>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DADOS</a:t>
          </a:r>
          <a:r>
            <a:rPr lang="pt-BR" sz="1100" b="1" baseline="0">
              <a:solidFill>
                <a:schemeClr val="lt1"/>
              </a:solidFill>
              <a:effectLst/>
              <a:latin typeface="+mn-lt"/>
              <a:ea typeface="+mn-ea"/>
              <a:cs typeface="+mn-cs"/>
            </a:rPr>
            <a:t> DO FORNECEDOR/</a:t>
          </a:r>
          <a:r>
            <a:rPr lang="pt-BR" sz="1100" b="1">
              <a:solidFill>
                <a:schemeClr val="lt1"/>
              </a:solidFill>
              <a:effectLst/>
              <a:latin typeface="+mn-lt"/>
              <a:ea typeface="+mn-ea"/>
              <a:cs typeface="+mn-cs"/>
            </a:rPr>
            <a:t>SUPPLIER</a:t>
          </a:r>
          <a:r>
            <a:rPr lang="pt-BR" sz="1100" b="1" baseline="0">
              <a:solidFill>
                <a:schemeClr val="lt1"/>
              </a:solidFill>
              <a:effectLst/>
              <a:latin typeface="+mn-lt"/>
              <a:ea typeface="+mn-ea"/>
              <a:cs typeface="+mn-cs"/>
            </a:rPr>
            <a:t> DATA</a:t>
          </a:r>
          <a:endParaRPr lang="pt-BR" sz="1200">
            <a:effectLst/>
          </a:endParaRPr>
        </a:p>
        <a:p>
          <a:pPr algn="ctr">
            <a:lnSpc>
              <a:spcPts val="1100"/>
            </a:lnSpc>
          </a:pPr>
          <a:endParaRPr lang="pt-BR" sz="1200" b="1">
            <a:solidFill>
              <a:schemeClr val="bg1"/>
            </a:solidFill>
          </a:endParaRPr>
        </a:p>
      </xdr:txBody>
    </xdr:sp>
    <xdr:clientData/>
  </xdr:twoCellAnchor>
  <xdr:twoCellAnchor>
    <xdr:from>
      <xdr:col>1</xdr:col>
      <xdr:colOff>177166</xdr:colOff>
      <xdr:row>17</xdr:row>
      <xdr:rowOff>40005</xdr:rowOff>
    </xdr:from>
    <xdr:to>
      <xdr:col>2</xdr:col>
      <xdr:colOff>2151657</xdr:colOff>
      <xdr:row>18</xdr:row>
      <xdr:rowOff>156659</xdr:rowOff>
    </xdr:to>
    <xdr:sp macro="" textlink="">
      <xdr:nvSpPr>
        <xdr:cNvPr id="5" name="Retângulo: Cantos Arredondados 4">
          <a:extLst>
            <a:ext uri="{FF2B5EF4-FFF2-40B4-BE49-F238E27FC236}">
              <a16:creationId xmlns:a16="http://schemas.microsoft.com/office/drawing/2014/main" xmlns="" id="{00000000-0008-0000-0C00-000005000000}"/>
            </a:ext>
          </a:extLst>
        </xdr:cNvPr>
        <xdr:cNvSpPr/>
      </xdr:nvSpPr>
      <xdr:spPr>
        <a:xfrm>
          <a:off x="441961" y="3550920"/>
          <a:ext cx="2920364" cy="261451"/>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000"/>
            </a:lnSpc>
            <a:spcBef>
              <a:spcPts val="0"/>
            </a:spcBef>
            <a:spcAft>
              <a:spcPts val="0"/>
            </a:spcAft>
            <a:buClrTx/>
            <a:buSzTx/>
            <a:buFontTx/>
            <a:buNone/>
            <a:tabLst/>
            <a:defRPr/>
          </a:pPr>
          <a:r>
            <a:rPr lang="pt-BR" sz="1100" b="1">
              <a:solidFill>
                <a:schemeClr val="lt1"/>
              </a:solidFill>
              <a:effectLst/>
              <a:latin typeface="+mn-lt"/>
              <a:ea typeface="+mn-ea"/>
              <a:cs typeface="+mn-cs"/>
            </a:rPr>
            <a:t>LISTA</a:t>
          </a:r>
          <a:r>
            <a:rPr lang="pt-BR" sz="1100" b="1" baseline="0">
              <a:solidFill>
                <a:schemeClr val="lt1"/>
              </a:solidFill>
              <a:effectLst/>
              <a:latin typeface="+mn-lt"/>
              <a:ea typeface="+mn-ea"/>
              <a:cs typeface="+mn-cs"/>
            </a:rPr>
            <a:t> DE DOCUMENTOS/</a:t>
          </a:r>
          <a:r>
            <a:rPr lang="pt-BR" sz="1100" b="1">
              <a:solidFill>
                <a:schemeClr val="lt1"/>
              </a:solidFill>
              <a:effectLst/>
              <a:latin typeface="+mn-lt"/>
              <a:ea typeface="+mn-ea"/>
              <a:cs typeface="+mn-cs"/>
            </a:rPr>
            <a:t>DOCUMENTS LIST</a:t>
          </a:r>
          <a:endParaRPr lang="pt-BR" sz="1200">
            <a:effectLst/>
          </a:endParaRPr>
        </a:p>
        <a:p>
          <a:pPr algn="ctr">
            <a:lnSpc>
              <a:spcPts val="1200"/>
            </a:lnSpc>
          </a:pPr>
          <a:endParaRPr lang="pt-BR" sz="1200" b="1">
            <a:solidFill>
              <a:schemeClr val="bg1"/>
            </a:solidFill>
          </a:endParaRPr>
        </a:p>
      </xdr:txBody>
    </xdr:sp>
    <xdr:clientData/>
  </xdr:twoCellAnchor>
  <xdr:twoCellAnchor>
    <xdr:from>
      <xdr:col>1</xdr:col>
      <xdr:colOff>232410</xdr:colOff>
      <xdr:row>30</xdr:row>
      <xdr:rowOff>38100</xdr:rowOff>
    </xdr:from>
    <xdr:to>
      <xdr:col>2</xdr:col>
      <xdr:colOff>2123864</xdr:colOff>
      <xdr:row>32</xdr:row>
      <xdr:rowOff>3635</xdr:rowOff>
    </xdr:to>
    <xdr:sp macro="" textlink="">
      <xdr:nvSpPr>
        <xdr:cNvPr id="6" name="Retângulo: Cantos Arredondados 5">
          <a:extLst>
            <a:ext uri="{FF2B5EF4-FFF2-40B4-BE49-F238E27FC236}">
              <a16:creationId xmlns:a16="http://schemas.microsoft.com/office/drawing/2014/main" xmlns="" id="{00000000-0008-0000-0C00-000006000000}"/>
            </a:ext>
          </a:extLst>
        </xdr:cNvPr>
        <xdr:cNvSpPr/>
      </xdr:nvSpPr>
      <xdr:spPr>
        <a:xfrm>
          <a:off x="474345" y="5505450"/>
          <a:ext cx="2640330" cy="278605"/>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lt1"/>
              </a:solidFill>
              <a:effectLst/>
              <a:latin typeface="+mn-lt"/>
              <a:ea typeface="+mn-ea"/>
              <a:cs typeface="+mn-cs"/>
            </a:rPr>
            <a:t>QUESTIONÁRIO/QUESTIONNAIRE</a:t>
          </a:r>
          <a:endParaRPr lang="pt-BR" sz="1200">
            <a:effectLst/>
          </a:endParaRPr>
        </a:p>
        <a:p>
          <a:pPr algn="ctr"/>
          <a:endParaRPr lang="pt-BR" sz="1200" b="1">
            <a:solidFill>
              <a:schemeClr val="bg1"/>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504825</xdr:colOff>
          <xdr:row>4</xdr:row>
          <xdr:rowOff>314325</xdr:rowOff>
        </xdr:from>
        <xdr:to>
          <xdr:col>5</xdr:col>
          <xdr:colOff>685800</xdr:colOff>
          <xdr:row>6</xdr:row>
          <xdr:rowOff>76200</xdr:rowOff>
        </xdr:to>
        <xdr:sp macro="" textlink="">
          <xdr:nvSpPr>
            <xdr:cNvPr id="41411" name="Check Box 1475" hidden="1">
              <a:extLst>
                <a:ext uri="{63B3BB69-23CF-44E3-9099-C40C66FF867C}">
                  <a14:compatExt spid="_x0000_s4141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Inglês/English</a:t>
              </a:r>
            </a:p>
          </xdr:txBody>
        </xdr:sp>
        <xdr:clientData fLocksWithSheet="0"/>
      </xdr:twoCellAnchor>
    </mc:Choice>
    <mc:Fallback/>
  </mc:AlternateContent>
</xdr:wsDr>
</file>

<file path=xl/drawings/drawing14.xml><?xml version="1.0" encoding="utf-8"?>
<xdr:wsDr xmlns:xdr="http://schemas.openxmlformats.org/drawingml/2006/spreadsheetDrawing" xmlns:a="http://schemas.openxmlformats.org/drawingml/2006/main">
  <xdr:twoCellAnchor>
    <xdr:from>
      <xdr:col>0</xdr:col>
      <xdr:colOff>161925</xdr:colOff>
      <xdr:row>0</xdr:row>
      <xdr:rowOff>85725</xdr:rowOff>
    </xdr:from>
    <xdr:to>
      <xdr:col>1</xdr:col>
      <xdr:colOff>1371600</xdr:colOff>
      <xdr:row>3</xdr:row>
      <xdr:rowOff>142875</xdr:rowOff>
    </xdr:to>
    <xdr:pic>
      <xdr:nvPicPr>
        <xdr:cNvPr id="56717" name="Imagem 1">
          <a:extLst>
            <a:ext uri="{FF2B5EF4-FFF2-40B4-BE49-F238E27FC236}">
              <a16:creationId xmlns:a16="http://schemas.microsoft.com/office/drawing/2014/main" xmlns="" id="{00000000-0008-0000-0D00-00008DD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5725"/>
          <a:ext cx="13906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462913</xdr:colOff>
      <xdr:row>4</xdr:row>
      <xdr:rowOff>100965</xdr:rowOff>
    </xdr:from>
    <xdr:to>
      <xdr:col>9</xdr:col>
      <xdr:colOff>651297</xdr:colOff>
      <xdr:row>5</xdr:row>
      <xdr:rowOff>85806</xdr:rowOff>
    </xdr:to>
    <xdr:sp macro="" textlink="">
      <xdr:nvSpPr>
        <xdr:cNvPr id="3" name="Retângulo: Cantos Arredondados 2">
          <a:hlinkClick xmlns:r="http://schemas.openxmlformats.org/officeDocument/2006/relationships" r:id="rId2"/>
          <a:extLst>
            <a:ext uri="{FF2B5EF4-FFF2-40B4-BE49-F238E27FC236}">
              <a16:creationId xmlns:a16="http://schemas.microsoft.com/office/drawing/2014/main" xmlns="" id="{00000000-0008-0000-0D00-000003000000}"/>
            </a:ext>
          </a:extLst>
        </xdr:cNvPr>
        <xdr:cNvSpPr/>
      </xdr:nvSpPr>
      <xdr:spPr>
        <a:xfrm>
          <a:off x="8134348" y="735330"/>
          <a:ext cx="1409702" cy="302895"/>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xdr:from>
      <xdr:col>1</xdr:col>
      <xdr:colOff>194309</xdr:colOff>
      <xdr:row>6</xdr:row>
      <xdr:rowOff>47625</xdr:rowOff>
    </xdr:from>
    <xdr:to>
      <xdr:col>3</xdr:col>
      <xdr:colOff>215</xdr:colOff>
      <xdr:row>8</xdr:row>
      <xdr:rowOff>2996</xdr:rowOff>
    </xdr:to>
    <xdr:sp macro="" textlink="">
      <xdr:nvSpPr>
        <xdr:cNvPr id="4" name="Retângulo: Cantos Arredondados 3">
          <a:extLst>
            <a:ext uri="{FF2B5EF4-FFF2-40B4-BE49-F238E27FC236}">
              <a16:creationId xmlns:a16="http://schemas.microsoft.com/office/drawing/2014/main" xmlns="" id="{00000000-0008-0000-0D00-000004000000}"/>
            </a:ext>
          </a:extLst>
        </xdr:cNvPr>
        <xdr:cNvSpPr/>
      </xdr:nvSpPr>
      <xdr:spPr>
        <a:xfrm>
          <a:off x="464819" y="1150620"/>
          <a:ext cx="2887981" cy="290806"/>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DADOS</a:t>
          </a:r>
          <a:r>
            <a:rPr lang="pt-BR" sz="1100" b="1" baseline="0">
              <a:solidFill>
                <a:schemeClr val="lt1"/>
              </a:solidFill>
              <a:effectLst/>
              <a:latin typeface="+mn-lt"/>
              <a:ea typeface="+mn-ea"/>
              <a:cs typeface="+mn-cs"/>
            </a:rPr>
            <a:t> DO FORNECEDOR/</a:t>
          </a:r>
          <a:r>
            <a:rPr lang="pt-BR" sz="1100" b="1">
              <a:solidFill>
                <a:schemeClr val="lt1"/>
              </a:solidFill>
              <a:effectLst/>
              <a:latin typeface="+mn-lt"/>
              <a:ea typeface="+mn-ea"/>
              <a:cs typeface="+mn-cs"/>
            </a:rPr>
            <a:t>SUPPLIER</a:t>
          </a:r>
          <a:r>
            <a:rPr lang="pt-BR" sz="1100" b="1" baseline="0">
              <a:solidFill>
                <a:schemeClr val="lt1"/>
              </a:solidFill>
              <a:effectLst/>
              <a:latin typeface="+mn-lt"/>
              <a:ea typeface="+mn-ea"/>
              <a:cs typeface="+mn-cs"/>
            </a:rPr>
            <a:t> DATA</a:t>
          </a:r>
          <a:endParaRPr lang="pt-BR" sz="1200">
            <a:effectLst/>
          </a:endParaRPr>
        </a:p>
        <a:p>
          <a:pPr algn="ctr">
            <a:lnSpc>
              <a:spcPts val="1100"/>
            </a:lnSpc>
          </a:pPr>
          <a:endParaRPr lang="pt-BR" sz="1200" b="1">
            <a:solidFill>
              <a:schemeClr val="bg1"/>
            </a:solidFill>
          </a:endParaRPr>
        </a:p>
      </xdr:txBody>
    </xdr:sp>
    <xdr:clientData/>
  </xdr:twoCellAnchor>
  <xdr:twoCellAnchor>
    <xdr:from>
      <xdr:col>1</xdr:col>
      <xdr:colOff>177164</xdr:colOff>
      <xdr:row>17</xdr:row>
      <xdr:rowOff>11430</xdr:rowOff>
    </xdr:from>
    <xdr:to>
      <xdr:col>2</xdr:col>
      <xdr:colOff>1908322</xdr:colOff>
      <xdr:row>18</xdr:row>
      <xdr:rowOff>156824</xdr:rowOff>
    </xdr:to>
    <xdr:sp macro="" textlink="">
      <xdr:nvSpPr>
        <xdr:cNvPr id="5" name="Retângulo: Cantos Arredondados 4">
          <a:extLst>
            <a:ext uri="{FF2B5EF4-FFF2-40B4-BE49-F238E27FC236}">
              <a16:creationId xmlns:a16="http://schemas.microsoft.com/office/drawing/2014/main" xmlns="" id="{00000000-0008-0000-0D00-000005000000}"/>
            </a:ext>
          </a:extLst>
        </xdr:cNvPr>
        <xdr:cNvSpPr/>
      </xdr:nvSpPr>
      <xdr:spPr>
        <a:xfrm>
          <a:off x="441959" y="3533775"/>
          <a:ext cx="2748916" cy="279334"/>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000"/>
            </a:lnSpc>
            <a:spcBef>
              <a:spcPts val="0"/>
            </a:spcBef>
            <a:spcAft>
              <a:spcPts val="0"/>
            </a:spcAft>
            <a:buClrTx/>
            <a:buSzTx/>
            <a:buFontTx/>
            <a:buNone/>
            <a:tabLst/>
            <a:defRPr/>
          </a:pPr>
          <a:r>
            <a:rPr lang="pt-BR" sz="1100" b="1">
              <a:solidFill>
                <a:schemeClr val="lt1"/>
              </a:solidFill>
              <a:effectLst/>
              <a:latin typeface="+mn-lt"/>
              <a:ea typeface="+mn-ea"/>
              <a:cs typeface="+mn-cs"/>
            </a:rPr>
            <a:t>LISTA</a:t>
          </a:r>
          <a:r>
            <a:rPr lang="pt-BR" sz="1100" b="1" baseline="0">
              <a:solidFill>
                <a:schemeClr val="lt1"/>
              </a:solidFill>
              <a:effectLst/>
              <a:latin typeface="+mn-lt"/>
              <a:ea typeface="+mn-ea"/>
              <a:cs typeface="+mn-cs"/>
            </a:rPr>
            <a:t> DE DOCUMENTOS/</a:t>
          </a:r>
          <a:r>
            <a:rPr lang="pt-BR" sz="1100" b="1">
              <a:solidFill>
                <a:schemeClr val="lt1"/>
              </a:solidFill>
              <a:effectLst/>
              <a:latin typeface="+mn-lt"/>
              <a:ea typeface="+mn-ea"/>
              <a:cs typeface="+mn-cs"/>
            </a:rPr>
            <a:t>DOCUMENTS LIST</a:t>
          </a:r>
          <a:endParaRPr lang="pt-BR" sz="1200">
            <a:effectLst/>
          </a:endParaRPr>
        </a:p>
        <a:p>
          <a:pPr algn="ctr">
            <a:lnSpc>
              <a:spcPts val="1200"/>
            </a:lnSpc>
          </a:pPr>
          <a:endParaRPr lang="pt-BR" sz="1200" b="1">
            <a:solidFill>
              <a:schemeClr val="bg1"/>
            </a:solidFill>
          </a:endParaRPr>
        </a:p>
      </xdr:txBody>
    </xdr:sp>
    <xdr:clientData/>
  </xdr:twoCellAnchor>
  <xdr:twoCellAnchor>
    <xdr:from>
      <xdr:col>1</xdr:col>
      <xdr:colOff>194310</xdr:colOff>
      <xdr:row>25</xdr:row>
      <xdr:rowOff>41910</xdr:rowOff>
    </xdr:from>
    <xdr:to>
      <xdr:col>2</xdr:col>
      <xdr:colOff>1473568</xdr:colOff>
      <xdr:row>27</xdr:row>
      <xdr:rowOff>7351</xdr:rowOff>
    </xdr:to>
    <xdr:sp macro="" textlink="">
      <xdr:nvSpPr>
        <xdr:cNvPr id="6" name="Retângulo: Cantos Arredondados 5">
          <a:extLst>
            <a:ext uri="{FF2B5EF4-FFF2-40B4-BE49-F238E27FC236}">
              <a16:creationId xmlns:a16="http://schemas.microsoft.com/office/drawing/2014/main" xmlns="" id="{00000000-0008-0000-0D00-000006000000}"/>
            </a:ext>
          </a:extLst>
        </xdr:cNvPr>
        <xdr:cNvSpPr/>
      </xdr:nvSpPr>
      <xdr:spPr>
        <a:xfrm>
          <a:off x="464820" y="5991225"/>
          <a:ext cx="2259330" cy="268637"/>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QUESTIONÁRIO/QUESTIONNAIRE</a:t>
          </a:r>
          <a:endParaRPr lang="pt-BR" sz="1200">
            <a:effectLst/>
          </a:endParaRPr>
        </a:p>
        <a:p>
          <a:pPr algn="ctr">
            <a:lnSpc>
              <a:spcPts val="1000"/>
            </a:lnSpc>
          </a:pPr>
          <a:endParaRPr lang="pt-BR" sz="1200" b="1">
            <a:solidFill>
              <a:schemeClr val="bg1"/>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285750</xdr:colOff>
          <xdr:row>4</xdr:row>
          <xdr:rowOff>409575</xdr:rowOff>
        </xdr:from>
        <xdr:to>
          <xdr:col>5</xdr:col>
          <xdr:colOff>476250</xdr:colOff>
          <xdr:row>6</xdr:row>
          <xdr:rowOff>161925</xdr:rowOff>
        </xdr:to>
        <xdr:sp macro="" textlink="">
          <xdr:nvSpPr>
            <xdr:cNvPr id="45979" name="Check Box 1947" hidden="1">
              <a:extLst>
                <a:ext uri="{63B3BB69-23CF-44E3-9099-C40C66FF867C}">
                  <a14:compatExt spid="_x0000_s4597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Inglês/English</a:t>
              </a:r>
            </a:p>
          </xdr:txBody>
        </xdr:sp>
        <xdr:clientData fLocksWithSheet="0"/>
      </xdr:twoCellAnchor>
    </mc:Choice>
    <mc:Fallback/>
  </mc:AlternateContent>
</xdr:wsDr>
</file>

<file path=xl/drawings/drawing15.xml><?xml version="1.0" encoding="utf-8"?>
<xdr:wsDr xmlns:xdr="http://schemas.openxmlformats.org/drawingml/2006/spreadsheetDrawing" xmlns:a="http://schemas.openxmlformats.org/drawingml/2006/main">
  <xdr:twoCellAnchor>
    <xdr:from>
      <xdr:col>0</xdr:col>
      <xdr:colOff>161925</xdr:colOff>
      <xdr:row>0</xdr:row>
      <xdr:rowOff>85725</xdr:rowOff>
    </xdr:from>
    <xdr:to>
      <xdr:col>1</xdr:col>
      <xdr:colOff>1362075</xdr:colOff>
      <xdr:row>3</xdr:row>
      <xdr:rowOff>142875</xdr:rowOff>
    </xdr:to>
    <xdr:pic>
      <xdr:nvPicPr>
        <xdr:cNvPr id="68944" name="Imagem 1">
          <a:extLst>
            <a:ext uri="{FF2B5EF4-FFF2-40B4-BE49-F238E27FC236}">
              <a16:creationId xmlns:a16="http://schemas.microsoft.com/office/drawing/2014/main" xmlns="" id="{00000000-0008-0000-0E00-0000500D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5725"/>
          <a:ext cx="1228725"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681988</xdr:colOff>
      <xdr:row>4</xdr:row>
      <xdr:rowOff>100966</xdr:rowOff>
    </xdr:from>
    <xdr:to>
      <xdr:col>9</xdr:col>
      <xdr:colOff>786710</xdr:colOff>
      <xdr:row>5</xdr:row>
      <xdr:rowOff>15499</xdr:rowOff>
    </xdr:to>
    <xdr:sp macro="" textlink="">
      <xdr:nvSpPr>
        <xdr:cNvPr id="3" name="Retângulo: Cantos Arredondados 2">
          <a:hlinkClick xmlns:r="http://schemas.openxmlformats.org/officeDocument/2006/relationships" r:id="rId2"/>
          <a:extLst>
            <a:ext uri="{FF2B5EF4-FFF2-40B4-BE49-F238E27FC236}">
              <a16:creationId xmlns:a16="http://schemas.microsoft.com/office/drawing/2014/main" xmlns="" id="{00000000-0008-0000-0E00-000003000000}"/>
            </a:ext>
          </a:extLst>
        </xdr:cNvPr>
        <xdr:cNvSpPr/>
      </xdr:nvSpPr>
      <xdr:spPr>
        <a:xfrm>
          <a:off x="8336278" y="735331"/>
          <a:ext cx="1331597" cy="31242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xdr:from>
      <xdr:col>1</xdr:col>
      <xdr:colOff>238125</xdr:colOff>
      <xdr:row>6</xdr:row>
      <xdr:rowOff>47625</xdr:rowOff>
    </xdr:from>
    <xdr:to>
      <xdr:col>3</xdr:col>
      <xdr:colOff>598</xdr:colOff>
      <xdr:row>8</xdr:row>
      <xdr:rowOff>2996</xdr:rowOff>
    </xdr:to>
    <xdr:sp macro="" textlink="">
      <xdr:nvSpPr>
        <xdr:cNvPr id="4" name="Retângulo: Cantos Arredondados 3">
          <a:extLst>
            <a:ext uri="{FF2B5EF4-FFF2-40B4-BE49-F238E27FC236}">
              <a16:creationId xmlns:a16="http://schemas.microsoft.com/office/drawing/2014/main" xmlns="" id="{00000000-0008-0000-0E00-000004000000}"/>
            </a:ext>
          </a:extLst>
        </xdr:cNvPr>
        <xdr:cNvSpPr/>
      </xdr:nvSpPr>
      <xdr:spPr>
        <a:xfrm>
          <a:off x="493395" y="1207770"/>
          <a:ext cx="2983230" cy="290806"/>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DADOS</a:t>
          </a:r>
          <a:r>
            <a:rPr lang="pt-BR" sz="1100" b="1" baseline="0">
              <a:solidFill>
                <a:schemeClr val="lt1"/>
              </a:solidFill>
              <a:effectLst/>
              <a:latin typeface="+mn-lt"/>
              <a:ea typeface="+mn-ea"/>
              <a:cs typeface="+mn-cs"/>
            </a:rPr>
            <a:t> DO FORNECEDOR/</a:t>
          </a:r>
          <a:r>
            <a:rPr lang="pt-BR" sz="1100" b="1">
              <a:solidFill>
                <a:schemeClr val="lt1"/>
              </a:solidFill>
              <a:effectLst/>
              <a:latin typeface="+mn-lt"/>
              <a:ea typeface="+mn-ea"/>
              <a:cs typeface="+mn-cs"/>
            </a:rPr>
            <a:t>SUPPLIER</a:t>
          </a:r>
          <a:r>
            <a:rPr lang="pt-BR" sz="1100" b="1" baseline="0">
              <a:solidFill>
                <a:schemeClr val="lt1"/>
              </a:solidFill>
              <a:effectLst/>
              <a:latin typeface="+mn-lt"/>
              <a:ea typeface="+mn-ea"/>
              <a:cs typeface="+mn-cs"/>
            </a:rPr>
            <a:t> DATA</a:t>
          </a:r>
          <a:endParaRPr lang="pt-BR" sz="1200">
            <a:effectLst/>
          </a:endParaRPr>
        </a:p>
        <a:p>
          <a:pPr algn="ctr">
            <a:lnSpc>
              <a:spcPts val="1100"/>
            </a:lnSpc>
          </a:pPr>
          <a:endParaRPr lang="pt-BR" sz="1200" b="1">
            <a:solidFill>
              <a:schemeClr val="bg1"/>
            </a:solidFill>
          </a:endParaRPr>
        </a:p>
      </xdr:txBody>
    </xdr:sp>
    <xdr:clientData/>
  </xdr:twoCellAnchor>
  <xdr:twoCellAnchor>
    <xdr:from>
      <xdr:col>1</xdr:col>
      <xdr:colOff>165735</xdr:colOff>
      <xdr:row>17</xdr:row>
      <xdr:rowOff>11430</xdr:rowOff>
    </xdr:from>
    <xdr:to>
      <xdr:col>3</xdr:col>
      <xdr:colOff>15264</xdr:colOff>
      <xdr:row>18</xdr:row>
      <xdr:rowOff>156824</xdr:rowOff>
    </xdr:to>
    <xdr:sp macro="" textlink="">
      <xdr:nvSpPr>
        <xdr:cNvPr id="5" name="Retângulo: Cantos Arredondados 4">
          <a:extLst>
            <a:ext uri="{FF2B5EF4-FFF2-40B4-BE49-F238E27FC236}">
              <a16:creationId xmlns:a16="http://schemas.microsoft.com/office/drawing/2014/main" xmlns="" id="{00000000-0008-0000-0E00-000005000000}"/>
            </a:ext>
          </a:extLst>
        </xdr:cNvPr>
        <xdr:cNvSpPr/>
      </xdr:nvSpPr>
      <xdr:spPr>
        <a:xfrm>
          <a:off x="441960" y="3486150"/>
          <a:ext cx="3063240" cy="279334"/>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lt1"/>
              </a:solidFill>
              <a:effectLst/>
              <a:latin typeface="+mn-lt"/>
              <a:ea typeface="+mn-ea"/>
              <a:cs typeface="+mn-cs"/>
            </a:rPr>
            <a:t>LISTA</a:t>
          </a:r>
          <a:r>
            <a:rPr lang="pt-BR" sz="1100" b="1" baseline="0">
              <a:solidFill>
                <a:schemeClr val="lt1"/>
              </a:solidFill>
              <a:effectLst/>
              <a:latin typeface="+mn-lt"/>
              <a:ea typeface="+mn-ea"/>
              <a:cs typeface="+mn-cs"/>
            </a:rPr>
            <a:t> DE DOCUMENTOS/</a:t>
          </a:r>
          <a:r>
            <a:rPr lang="pt-BR" sz="1100" b="1">
              <a:solidFill>
                <a:schemeClr val="lt1"/>
              </a:solidFill>
              <a:effectLst/>
              <a:latin typeface="+mn-lt"/>
              <a:ea typeface="+mn-ea"/>
              <a:cs typeface="+mn-cs"/>
            </a:rPr>
            <a:t>DOCUMENTS LIST</a:t>
          </a:r>
          <a:endParaRPr lang="pt-BR" sz="1200">
            <a:effectLst/>
          </a:endParaRPr>
        </a:p>
        <a:p>
          <a:pPr algn="ctr"/>
          <a:endParaRPr lang="pt-BR" sz="1200" b="1">
            <a:solidFill>
              <a:schemeClr val="bg1"/>
            </a:solidFill>
          </a:endParaRPr>
        </a:p>
      </xdr:txBody>
    </xdr:sp>
    <xdr:clientData/>
  </xdr:twoCellAnchor>
  <xdr:twoCellAnchor>
    <xdr:from>
      <xdr:col>1</xdr:col>
      <xdr:colOff>198119</xdr:colOff>
      <xdr:row>35</xdr:row>
      <xdr:rowOff>49530</xdr:rowOff>
    </xdr:from>
    <xdr:to>
      <xdr:col>2</xdr:col>
      <xdr:colOff>1480359</xdr:colOff>
      <xdr:row>37</xdr:row>
      <xdr:rowOff>3138</xdr:rowOff>
    </xdr:to>
    <xdr:sp macro="" textlink="">
      <xdr:nvSpPr>
        <xdr:cNvPr id="6" name="Retângulo: Cantos Arredondados 5">
          <a:extLst>
            <a:ext uri="{FF2B5EF4-FFF2-40B4-BE49-F238E27FC236}">
              <a16:creationId xmlns:a16="http://schemas.microsoft.com/office/drawing/2014/main" xmlns="" id="{00000000-0008-0000-0E00-000006000000}"/>
            </a:ext>
          </a:extLst>
        </xdr:cNvPr>
        <xdr:cNvSpPr/>
      </xdr:nvSpPr>
      <xdr:spPr>
        <a:xfrm>
          <a:off x="455294" y="6267450"/>
          <a:ext cx="2287905" cy="268637"/>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QUESTIONÁRIO/QUESTIONNAIRE</a:t>
          </a:r>
          <a:endParaRPr lang="pt-BR" sz="1200">
            <a:effectLst/>
          </a:endParaRPr>
        </a:p>
        <a:p>
          <a:pPr algn="ctr">
            <a:lnSpc>
              <a:spcPts val="1000"/>
            </a:lnSpc>
          </a:pPr>
          <a:endParaRPr lang="pt-BR" sz="1200" b="1">
            <a:solidFill>
              <a:schemeClr val="bg1"/>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285750</xdr:colOff>
          <xdr:row>4</xdr:row>
          <xdr:rowOff>400050</xdr:rowOff>
        </xdr:from>
        <xdr:to>
          <xdr:col>5</xdr:col>
          <xdr:colOff>476250</xdr:colOff>
          <xdr:row>6</xdr:row>
          <xdr:rowOff>114300</xdr:rowOff>
        </xdr:to>
        <xdr:sp macro="" textlink="">
          <xdr:nvSpPr>
            <xdr:cNvPr id="46554" name="Check Box 1498" hidden="1">
              <a:extLst>
                <a:ext uri="{63B3BB69-23CF-44E3-9099-C40C66FF867C}">
                  <a14:compatExt spid="_x0000_s4655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Inglês/English</a:t>
              </a:r>
            </a:p>
          </xdr:txBody>
        </xdr:sp>
        <xdr:clientData fLocksWithSheet="0"/>
      </xdr:twoCellAnchor>
    </mc:Choice>
    <mc:Fallback/>
  </mc:AlternateContent>
</xdr:wsDr>
</file>

<file path=xl/drawings/drawing16.xml><?xml version="1.0" encoding="utf-8"?>
<xdr:wsDr xmlns:xdr="http://schemas.openxmlformats.org/drawingml/2006/spreadsheetDrawing" xmlns:a="http://schemas.openxmlformats.org/drawingml/2006/main">
  <xdr:twoCellAnchor>
    <xdr:from>
      <xdr:col>0</xdr:col>
      <xdr:colOff>161925</xdr:colOff>
      <xdr:row>0</xdr:row>
      <xdr:rowOff>85725</xdr:rowOff>
    </xdr:from>
    <xdr:to>
      <xdr:col>1</xdr:col>
      <xdr:colOff>1371600</xdr:colOff>
      <xdr:row>3</xdr:row>
      <xdr:rowOff>142875</xdr:rowOff>
    </xdr:to>
    <xdr:pic>
      <xdr:nvPicPr>
        <xdr:cNvPr id="54677" name="Imagem 1">
          <a:extLst>
            <a:ext uri="{FF2B5EF4-FFF2-40B4-BE49-F238E27FC236}">
              <a16:creationId xmlns:a16="http://schemas.microsoft.com/office/drawing/2014/main" xmlns="" id="{00000000-0008-0000-0F00-000095D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5725"/>
          <a:ext cx="13906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283843</xdr:colOff>
      <xdr:row>4</xdr:row>
      <xdr:rowOff>97155</xdr:rowOff>
    </xdr:from>
    <xdr:to>
      <xdr:col>9</xdr:col>
      <xdr:colOff>964030</xdr:colOff>
      <xdr:row>6</xdr:row>
      <xdr:rowOff>17305</xdr:rowOff>
    </xdr:to>
    <xdr:sp macro="" textlink="">
      <xdr:nvSpPr>
        <xdr:cNvPr id="3" name="Retângulo: Cantos Arredondados 2">
          <a:hlinkClick xmlns:r="http://schemas.openxmlformats.org/officeDocument/2006/relationships" r:id="rId2"/>
          <a:extLst>
            <a:ext uri="{FF2B5EF4-FFF2-40B4-BE49-F238E27FC236}">
              <a16:creationId xmlns:a16="http://schemas.microsoft.com/office/drawing/2014/main" xmlns="" id="{00000000-0008-0000-0F00-000003000000}"/>
            </a:ext>
          </a:extLst>
        </xdr:cNvPr>
        <xdr:cNvSpPr/>
      </xdr:nvSpPr>
      <xdr:spPr>
        <a:xfrm>
          <a:off x="6629398" y="742950"/>
          <a:ext cx="1800000" cy="27000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xdr:from>
      <xdr:col>1</xdr:col>
      <xdr:colOff>194310</xdr:colOff>
      <xdr:row>6</xdr:row>
      <xdr:rowOff>11430</xdr:rowOff>
    </xdr:from>
    <xdr:to>
      <xdr:col>3</xdr:col>
      <xdr:colOff>2658</xdr:colOff>
      <xdr:row>8</xdr:row>
      <xdr:rowOff>3588</xdr:rowOff>
    </xdr:to>
    <xdr:sp macro="" textlink="">
      <xdr:nvSpPr>
        <xdr:cNvPr id="4" name="Retângulo: Cantos Arredondados 3">
          <a:extLst>
            <a:ext uri="{FF2B5EF4-FFF2-40B4-BE49-F238E27FC236}">
              <a16:creationId xmlns:a16="http://schemas.microsoft.com/office/drawing/2014/main" xmlns="" id="{00000000-0008-0000-0F00-000004000000}"/>
            </a:ext>
          </a:extLst>
        </xdr:cNvPr>
        <xdr:cNvSpPr/>
      </xdr:nvSpPr>
      <xdr:spPr>
        <a:xfrm>
          <a:off x="464820" y="990600"/>
          <a:ext cx="2754630" cy="298863"/>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DADOS</a:t>
          </a:r>
          <a:r>
            <a:rPr lang="pt-BR" sz="1100" b="1" baseline="0">
              <a:solidFill>
                <a:schemeClr val="lt1"/>
              </a:solidFill>
              <a:effectLst/>
              <a:latin typeface="+mn-lt"/>
              <a:ea typeface="+mn-ea"/>
              <a:cs typeface="+mn-cs"/>
            </a:rPr>
            <a:t> DO FORNECEDOR/</a:t>
          </a:r>
          <a:r>
            <a:rPr lang="pt-BR" sz="1100" b="1">
              <a:solidFill>
                <a:schemeClr val="lt1"/>
              </a:solidFill>
              <a:effectLst/>
              <a:latin typeface="+mn-lt"/>
              <a:ea typeface="+mn-ea"/>
              <a:cs typeface="+mn-cs"/>
            </a:rPr>
            <a:t>SUPPLIER</a:t>
          </a:r>
          <a:r>
            <a:rPr lang="pt-BR" sz="1100" b="1" baseline="0">
              <a:solidFill>
                <a:schemeClr val="lt1"/>
              </a:solidFill>
              <a:effectLst/>
              <a:latin typeface="+mn-lt"/>
              <a:ea typeface="+mn-ea"/>
              <a:cs typeface="+mn-cs"/>
            </a:rPr>
            <a:t> DATA</a:t>
          </a:r>
          <a:endParaRPr lang="pt-BR" sz="1200">
            <a:effectLst/>
          </a:endParaRPr>
        </a:p>
        <a:p>
          <a:pPr algn="ctr">
            <a:lnSpc>
              <a:spcPts val="1100"/>
            </a:lnSpc>
          </a:pPr>
          <a:endParaRPr lang="pt-BR" sz="1200" b="1">
            <a:solidFill>
              <a:schemeClr val="bg1"/>
            </a:solidFill>
          </a:endParaRPr>
        </a:p>
      </xdr:txBody>
    </xdr:sp>
    <xdr:clientData/>
  </xdr:twoCellAnchor>
  <xdr:twoCellAnchor>
    <xdr:from>
      <xdr:col>1</xdr:col>
      <xdr:colOff>156209</xdr:colOff>
      <xdr:row>17</xdr:row>
      <xdr:rowOff>40005</xdr:rowOff>
    </xdr:from>
    <xdr:to>
      <xdr:col>3</xdr:col>
      <xdr:colOff>3652</xdr:colOff>
      <xdr:row>18</xdr:row>
      <xdr:rowOff>156448</xdr:rowOff>
    </xdr:to>
    <xdr:sp macro="" textlink="">
      <xdr:nvSpPr>
        <xdr:cNvPr id="5" name="Retângulo: Cantos Arredondados 4">
          <a:extLst>
            <a:ext uri="{FF2B5EF4-FFF2-40B4-BE49-F238E27FC236}">
              <a16:creationId xmlns:a16="http://schemas.microsoft.com/office/drawing/2014/main" xmlns="" id="{00000000-0008-0000-0F00-000005000000}"/>
            </a:ext>
          </a:extLst>
        </xdr:cNvPr>
        <xdr:cNvSpPr/>
      </xdr:nvSpPr>
      <xdr:spPr>
        <a:xfrm>
          <a:off x="432434" y="3388995"/>
          <a:ext cx="2891791" cy="261257"/>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000"/>
            </a:lnSpc>
            <a:spcBef>
              <a:spcPts val="0"/>
            </a:spcBef>
            <a:spcAft>
              <a:spcPts val="0"/>
            </a:spcAft>
            <a:buClrTx/>
            <a:buSzTx/>
            <a:buFontTx/>
            <a:buNone/>
            <a:tabLst/>
            <a:defRPr/>
          </a:pPr>
          <a:r>
            <a:rPr lang="pt-BR" sz="1100" b="1">
              <a:solidFill>
                <a:schemeClr val="lt1"/>
              </a:solidFill>
              <a:effectLst/>
              <a:latin typeface="+mn-lt"/>
              <a:ea typeface="+mn-ea"/>
              <a:cs typeface="+mn-cs"/>
            </a:rPr>
            <a:t>LISTA</a:t>
          </a:r>
          <a:r>
            <a:rPr lang="pt-BR" sz="1100" b="1" baseline="0">
              <a:solidFill>
                <a:schemeClr val="lt1"/>
              </a:solidFill>
              <a:effectLst/>
              <a:latin typeface="+mn-lt"/>
              <a:ea typeface="+mn-ea"/>
              <a:cs typeface="+mn-cs"/>
            </a:rPr>
            <a:t> DE DOCUMENTOS/</a:t>
          </a:r>
          <a:r>
            <a:rPr lang="pt-BR" sz="1100" b="1">
              <a:solidFill>
                <a:schemeClr val="lt1"/>
              </a:solidFill>
              <a:effectLst/>
              <a:latin typeface="+mn-lt"/>
              <a:ea typeface="+mn-ea"/>
              <a:cs typeface="+mn-cs"/>
            </a:rPr>
            <a:t>DOCUMENTS LIST</a:t>
          </a:r>
          <a:endParaRPr lang="pt-BR" sz="1200">
            <a:effectLst/>
          </a:endParaRPr>
        </a:p>
        <a:p>
          <a:pPr algn="ctr">
            <a:lnSpc>
              <a:spcPts val="1200"/>
            </a:lnSpc>
          </a:pPr>
          <a:endParaRPr lang="pt-BR" sz="1200" b="1">
            <a:solidFill>
              <a:schemeClr val="bg1"/>
            </a:solidFill>
          </a:endParaRPr>
        </a:p>
      </xdr:txBody>
    </xdr:sp>
    <xdr:clientData/>
  </xdr:twoCellAnchor>
  <xdr:twoCellAnchor>
    <xdr:from>
      <xdr:col>1</xdr:col>
      <xdr:colOff>194310</xdr:colOff>
      <xdr:row>30</xdr:row>
      <xdr:rowOff>49530</xdr:rowOff>
    </xdr:from>
    <xdr:to>
      <xdr:col>2</xdr:col>
      <xdr:colOff>1775789</xdr:colOff>
      <xdr:row>32</xdr:row>
      <xdr:rowOff>7073</xdr:rowOff>
    </xdr:to>
    <xdr:sp macro="" textlink="">
      <xdr:nvSpPr>
        <xdr:cNvPr id="6" name="Retângulo: Cantos Arredondados 5">
          <a:extLst>
            <a:ext uri="{FF2B5EF4-FFF2-40B4-BE49-F238E27FC236}">
              <a16:creationId xmlns:a16="http://schemas.microsoft.com/office/drawing/2014/main" xmlns="" id="{00000000-0008-0000-0F00-000006000000}"/>
            </a:ext>
          </a:extLst>
        </xdr:cNvPr>
        <xdr:cNvSpPr/>
      </xdr:nvSpPr>
      <xdr:spPr>
        <a:xfrm>
          <a:off x="464820" y="4867275"/>
          <a:ext cx="2516505" cy="268161"/>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b="1">
              <a:solidFill>
                <a:schemeClr val="lt1"/>
              </a:solidFill>
              <a:effectLst/>
              <a:latin typeface="+mn-lt"/>
              <a:ea typeface="+mn-ea"/>
              <a:cs typeface="+mn-cs"/>
            </a:rPr>
            <a:t>QUESTIONÁRIO/QUESTIONNAIRE</a:t>
          </a:r>
          <a:endParaRPr lang="pt-BR" sz="1200">
            <a:effectLst/>
          </a:endParaRPr>
        </a:p>
        <a:p>
          <a:pPr algn="ctr"/>
          <a:endParaRPr lang="pt-BR" sz="1200" b="1">
            <a:solidFill>
              <a:schemeClr val="bg1"/>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285750</xdr:colOff>
          <xdr:row>4</xdr:row>
          <xdr:rowOff>409575</xdr:rowOff>
        </xdr:from>
        <xdr:to>
          <xdr:col>5</xdr:col>
          <xdr:colOff>476250</xdr:colOff>
          <xdr:row>6</xdr:row>
          <xdr:rowOff>161925</xdr:rowOff>
        </xdr:to>
        <xdr:sp macro="" textlink="">
          <xdr:nvSpPr>
            <xdr:cNvPr id="42955" name="Check Box 1995" hidden="1">
              <a:extLst>
                <a:ext uri="{63B3BB69-23CF-44E3-9099-C40C66FF867C}">
                  <a14:compatExt spid="_x0000_s4295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Inglês/English</a:t>
              </a:r>
            </a:p>
          </xdr:txBody>
        </xdr:sp>
        <xdr:clientData fLocksWithSheet="0"/>
      </xdr:twoCellAnchor>
    </mc:Choice>
    <mc:Fallback/>
  </mc:AlternateContent>
</xdr:wsDr>
</file>

<file path=xl/drawings/drawing17.xml><?xml version="1.0" encoding="utf-8"?>
<xdr:wsDr xmlns:xdr="http://schemas.openxmlformats.org/drawingml/2006/spreadsheetDrawing" xmlns:a="http://schemas.openxmlformats.org/drawingml/2006/main">
  <xdr:twoCellAnchor>
    <xdr:from>
      <xdr:col>0</xdr:col>
      <xdr:colOff>161925</xdr:colOff>
      <xdr:row>0</xdr:row>
      <xdr:rowOff>85725</xdr:rowOff>
    </xdr:from>
    <xdr:to>
      <xdr:col>1</xdr:col>
      <xdr:colOff>1371600</xdr:colOff>
      <xdr:row>3</xdr:row>
      <xdr:rowOff>142875</xdr:rowOff>
    </xdr:to>
    <xdr:pic>
      <xdr:nvPicPr>
        <xdr:cNvPr id="50893" name="Imagem 1">
          <a:extLst>
            <a:ext uri="{FF2B5EF4-FFF2-40B4-BE49-F238E27FC236}">
              <a16:creationId xmlns:a16="http://schemas.microsoft.com/office/drawing/2014/main" xmlns="" id="{00000000-0008-0000-1000-0000CDC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5725"/>
          <a:ext cx="13906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499108</xdr:colOff>
      <xdr:row>4</xdr:row>
      <xdr:rowOff>100965</xdr:rowOff>
    </xdr:from>
    <xdr:to>
      <xdr:col>9</xdr:col>
      <xdr:colOff>706700</xdr:colOff>
      <xdr:row>5</xdr:row>
      <xdr:rowOff>51569</xdr:rowOff>
    </xdr:to>
    <xdr:sp macro="" textlink="">
      <xdr:nvSpPr>
        <xdr:cNvPr id="3" name="Retângulo: Cantos Arredondados 2">
          <a:hlinkClick xmlns:r="http://schemas.openxmlformats.org/officeDocument/2006/relationships" r:id="rId2"/>
          <a:extLst>
            <a:ext uri="{FF2B5EF4-FFF2-40B4-BE49-F238E27FC236}">
              <a16:creationId xmlns:a16="http://schemas.microsoft.com/office/drawing/2014/main" xmlns="" id="{00000000-0008-0000-1000-000003000000}"/>
            </a:ext>
          </a:extLst>
        </xdr:cNvPr>
        <xdr:cNvSpPr/>
      </xdr:nvSpPr>
      <xdr:spPr>
        <a:xfrm>
          <a:off x="8162923" y="735330"/>
          <a:ext cx="1438277" cy="293370"/>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xdr:from>
      <xdr:col>1</xdr:col>
      <xdr:colOff>194309</xdr:colOff>
      <xdr:row>6</xdr:row>
      <xdr:rowOff>47625</xdr:rowOff>
    </xdr:from>
    <xdr:to>
      <xdr:col>2</xdr:col>
      <xdr:colOff>1910802</xdr:colOff>
      <xdr:row>8</xdr:row>
      <xdr:rowOff>2996</xdr:rowOff>
    </xdr:to>
    <xdr:sp macro="" textlink="">
      <xdr:nvSpPr>
        <xdr:cNvPr id="4" name="Retângulo: Cantos Arredondados 3">
          <a:extLst>
            <a:ext uri="{FF2B5EF4-FFF2-40B4-BE49-F238E27FC236}">
              <a16:creationId xmlns:a16="http://schemas.microsoft.com/office/drawing/2014/main" xmlns="" id="{00000000-0008-0000-1000-000004000000}"/>
            </a:ext>
          </a:extLst>
        </xdr:cNvPr>
        <xdr:cNvSpPr/>
      </xdr:nvSpPr>
      <xdr:spPr>
        <a:xfrm>
          <a:off x="464819" y="1160145"/>
          <a:ext cx="2764156" cy="290806"/>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DADOS</a:t>
          </a:r>
          <a:r>
            <a:rPr lang="pt-BR" sz="1100" b="1" baseline="0">
              <a:solidFill>
                <a:schemeClr val="lt1"/>
              </a:solidFill>
              <a:effectLst/>
              <a:latin typeface="+mn-lt"/>
              <a:ea typeface="+mn-ea"/>
              <a:cs typeface="+mn-cs"/>
            </a:rPr>
            <a:t> DO FORNECEDOR/</a:t>
          </a:r>
          <a:r>
            <a:rPr lang="pt-BR" sz="1100" b="1">
              <a:solidFill>
                <a:schemeClr val="lt1"/>
              </a:solidFill>
              <a:effectLst/>
              <a:latin typeface="+mn-lt"/>
              <a:ea typeface="+mn-ea"/>
              <a:cs typeface="+mn-cs"/>
            </a:rPr>
            <a:t>SUPPLIER</a:t>
          </a:r>
          <a:r>
            <a:rPr lang="pt-BR" sz="1100" b="1" baseline="0">
              <a:solidFill>
                <a:schemeClr val="lt1"/>
              </a:solidFill>
              <a:effectLst/>
              <a:latin typeface="+mn-lt"/>
              <a:ea typeface="+mn-ea"/>
              <a:cs typeface="+mn-cs"/>
            </a:rPr>
            <a:t> DATA</a:t>
          </a:r>
          <a:endParaRPr lang="pt-BR" sz="1200">
            <a:effectLst/>
          </a:endParaRPr>
        </a:p>
        <a:p>
          <a:pPr algn="ctr">
            <a:lnSpc>
              <a:spcPts val="1100"/>
            </a:lnSpc>
          </a:pPr>
          <a:endParaRPr lang="pt-BR" sz="1200" b="1">
            <a:solidFill>
              <a:schemeClr val="bg1"/>
            </a:solidFill>
          </a:endParaRPr>
        </a:p>
      </xdr:txBody>
    </xdr:sp>
    <xdr:clientData/>
  </xdr:twoCellAnchor>
  <xdr:twoCellAnchor>
    <xdr:from>
      <xdr:col>1</xdr:col>
      <xdr:colOff>177164</xdr:colOff>
      <xdr:row>16</xdr:row>
      <xdr:rowOff>11430</xdr:rowOff>
    </xdr:from>
    <xdr:to>
      <xdr:col>2</xdr:col>
      <xdr:colOff>1910735</xdr:colOff>
      <xdr:row>17</xdr:row>
      <xdr:rowOff>155810</xdr:rowOff>
    </xdr:to>
    <xdr:sp macro="" textlink="">
      <xdr:nvSpPr>
        <xdr:cNvPr id="5" name="Retângulo: Cantos Arredondados 4">
          <a:extLst>
            <a:ext uri="{FF2B5EF4-FFF2-40B4-BE49-F238E27FC236}">
              <a16:creationId xmlns:a16="http://schemas.microsoft.com/office/drawing/2014/main" xmlns="" id="{00000000-0008-0000-1000-000005000000}"/>
            </a:ext>
          </a:extLst>
        </xdr:cNvPr>
        <xdr:cNvSpPr/>
      </xdr:nvSpPr>
      <xdr:spPr>
        <a:xfrm>
          <a:off x="441959" y="3543300"/>
          <a:ext cx="2787016" cy="279334"/>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000"/>
            </a:lnSpc>
            <a:spcBef>
              <a:spcPts val="0"/>
            </a:spcBef>
            <a:spcAft>
              <a:spcPts val="0"/>
            </a:spcAft>
            <a:buClrTx/>
            <a:buSzTx/>
            <a:buFontTx/>
            <a:buNone/>
            <a:tabLst/>
            <a:defRPr/>
          </a:pPr>
          <a:r>
            <a:rPr lang="pt-BR" sz="1100" b="1">
              <a:solidFill>
                <a:schemeClr val="lt1"/>
              </a:solidFill>
              <a:effectLst/>
              <a:latin typeface="+mn-lt"/>
              <a:ea typeface="+mn-ea"/>
              <a:cs typeface="+mn-cs"/>
            </a:rPr>
            <a:t>LISTA</a:t>
          </a:r>
          <a:r>
            <a:rPr lang="pt-BR" sz="1100" b="1" baseline="0">
              <a:solidFill>
                <a:schemeClr val="lt1"/>
              </a:solidFill>
              <a:effectLst/>
              <a:latin typeface="+mn-lt"/>
              <a:ea typeface="+mn-ea"/>
              <a:cs typeface="+mn-cs"/>
            </a:rPr>
            <a:t> DE DOCUMENTOS/</a:t>
          </a:r>
          <a:r>
            <a:rPr lang="pt-BR" sz="1100" b="1">
              <a:solidFill>
                <a:schemeClr val="lt1"/>
              </a:solidFill>
              <a:effectLst/>
              <a:latin typeface="+mn-lt"/>
              <a:ea typeface="+mn-ea"/>
              <a:cs typeface="+mn-cs"/>
            </a:rPr>
            <a:t>DOCUMENTS LIST</a:t>
          </a:r>
          <a:endParaRPr lang="pt-BR" sz="1200">
            <a:effectLst/>
          </a:endParaRPr>
        </a:p>
        <a:p>
          <a:pPr algn="ctr">
            <a:lnSpc>
              <a:spcPts val="1200"/>
            </a:lnSpc>
          </a:pPr>
          <a:endParaRPr lang="pt-BR" sz="1200" b="1">
            <a:solidFill>
              <a:schemeClr val="bg1"/>
            </a:solidFill>
          </a:endParaRPr>
        </a:p>
      </xdr:txBody>
    </xdr:sp>
    <xdr:clientData/>
  </xdr:twoCellAnchor>
  <xdr:twoCellAnchor>
    <xdr:from>
      <xdr:col>1</xdr:col>
      <xdr:colOff>194310</xdr:colOff>
      <xdr:row>32</xdr:row>
      <xdr:rowOff>49530</xdr:rowOff>
    </xdr:from>
    <xdr:to>
      <xdr:col>2</xdr:col>
      <xdr:colOff>1343748</xdr:colOff>
      <xdr:row>34</xdr:row>
      <xdr:rowOff>3138</xdr:rowOff>
    </xdr:to>
    <xdr:sp macro="" textlink="">
      <xdr:nvSpPr>
        <xdr:cNvPr id="6" name="Retângulo: Cantos Arredondados 5">
          <a:extLst>
            <a:ext uri="{FF2B5EF4-FFF2-40B4-BE49-F238E27FC236}">
              <a16:creationId xmlns:a16="http://schemas.microsoft.com/office/drawing/2014/main" xmlns="" id="{00000000-0008-0000-1000-000006000000}"/>
            </a:ext>
          </a:extLst>
        </xdr:cNvPr>
        <xdr:cNvSpPr/>
      </xdr:nvSpPr>
      <xdr:spPr>
        <a:xfrm>
          <a:off x="464820" y="6343650"/>
          <a:ext cx="2145030" cy="268637"/>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lang="pt-BR" sz="1100" b="1">
              <a:solidFill>
                <a:schemeClr val="lt1"/>
              </a:solidFill>
              <a:effectLst/>
              <a:latin typeface="+mn-lt"/>
              <a:ea typeface="+mn-ea"/>
              <a:cs typeface="+mn-cs"/>
            </a:rPr>
            <a:t>QUESTIONÁRIO/QUESTIONNAIRE</a:t>
          </a:r>
          <a:endParaRPr lang="pt-BR" sz="1200">
            <a:effectLst/>
          </a:endParaRPr>
        </a:p>
        <a:p>
          <a:pPr marL="0" marR="0" lvl="0" indent="0" algn="ctr" defTabSz="914400" eaLnBrk="1" fontAlgn="auto" latinLnBrk="0" hangingPunct="1">
            <a:lnSpc>
              <a:spcPts val="1300"/>
            </a:lnSpc>
            <a:spcBef>
              <a:spcPts val="0"/>
            </a:spcBef>
            <a:spcAft>
              <a:spcPts val="0"/>
            </a:spcAft>
            <a:buClrTx/>
            <a:buSzTx/>
            <a:buFontTx/>
            <a:buNone/>
            <a:tabLst/>
            <a:defRPr/>
          </a:pPr>
          <a:endParaRPr lang="pt-BR" sz="1200">
            <a:effectLst/>
          </a:endParaRPr>
        </a:p>
        <a:p>
          <a:pPr algn="ctr">
            <a:lnSpc>
              <a:spcPts val="1100"/>
            </a:lnSpc>
          </a:pPr>
          <a:endParaRPr lang="pt-BR" sz="1200" b="1">
            <a:solidFill>
              <a:schemeClr val="bg1"/>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285750</xdr:colOff>
          <xdr:row>4</xdr:row>
          <xdr:rowOff>409575</xdr:rowOff>
        </xdr:from>
        <xdr:to>
          <xdr:col>5</xdr:col>
          <xdr:colOff>476250</xdr:colOff>
          <xdr:row>6</xdr:row>
          <xdr:rowOff>161925</xdr:rowOff>
        </xdr:to>
        <xdr:sp macro="" textlink="">
          <xdr:nvSpPr>
            <xdr:cNvPr id="50308" name="Check Box 1156" hidden="1">
              <a:extLst>
                <a:ext uri="{63B3BB69-23CF-44E3-9099-C40C66FF867C}">
                  <a14:compatExt spid="_x0000_s5030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Inglês/English</a:t>
              </a:r>
            </a:p>
          </xdr:txBody>
        </xdr:sp>
        <xdr:clientData fLocksWithSheet="0"/>
      </xdr:twoCellAnchor>
    </mc:Choice>
    <mc:Fallback/>
  </mc:AlternateContent>
</xdr:wsDr>
</file>

<file path=xl/drawings/drawing18.xml><?xml version="1.0" encoding="utf-8"?>
<xdr:wsDr xmlns:xdr="http://schemas.openxmlformats.org/drawingml/2006/spreadsheetDrawing" xmlns:a="http://schemas.openxmlformats.org/drawingml/2006/main">
  <xdr:twoCellAnchor>
    <xdr:from>
      <xdr:col>0</xdr:col>
      <xdr:colOff>57150</xdr:colOff>
      <xdr:row>0</xdr:row>
      <xdr:rowOff>133350</xdr:rowOff>
    </xdr:from>
    <xdr:to>
      <xdr:col>1</xdr:col>
      <xdr:colOff>1200150</xdr:colOff>
      <xdr:row>3</xdr:row>
      <xdr:rowOff>190500</xdr:rowOff>
    </xdr:to>
    <xdr:pic>
      <xdr:nvPicPr>
        <xdr:cNvPr id="53690" name="Imagem 1">
          <a:extLst>
            <a:ext uri="{FF2B5EF4-FFF2-40B4-BE49-F238E27FC236}">
              <a16:creationId xmlns:a16="http://schemas.microsoft.com/office/drawing/2014/main" xmlns="" id="{00000000-0008-0000-1100-0000BAD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133350"/>
          <a:ext cx="144780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622936</xdr:colOff>
      <xdr:row>4</xdr:row>
      <xdr:rowOff>100965</xdr:rowOff>
    </xdr:from>
    <xdr:to>
      <xdr:col>9</xdr:col>
      <xdr:colOff>805843</xdr:colOff>
      <xdr:row>5</xdr:row>
      <xdr:rowOff>51551</xdr:rowOff>
    </xdr:to>
    <xdr:sp macro="" textlink="">
      <xdr:nvSpPr>
        <xdr:cNvPr id="3" name="Retângulo: Cantos Arredondados 2">
          <a:hlinkClick xmlns:r="http://schemas.openxmlformats.org/officeDocument/2006/relationships" r:id="rId2"/>
          <a:extLst>
            <a:ext uri="{FF2B5EF4-FFF2-40B4-BE49-F238E27FC236}">
              <a16:creationId xmlns:a16="http://schemas.microsoft.com/office/drawing/2014/main" xmlns="" id="{00000000-0008-0000-1100-000003000000}"/>
            </a:ext>
          </a:extLst>
        </xdr:cNvPr>
        <xdr:cNvSpPr/>
      </xdr:nvSpPr>
      <xdr:spPr>
        <a:xfrm>
          <a:off x="8652511" y="821055"/>
          <a:ext cx="1405890" cy="340995"/>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200" b="1">
              <a:solidFill>
                <a:schemeClr val="bg1"/>
              </a:solidFill>
            </a:rPr>
            <a:t>MENU</a:t>
          </a:r>
        </a:p>
      </xdr:txBody>
    </xdr:sp>
    <xdr:clientData/>
  </xdr:twoCellAnchor>
  <xdr:twoCellAnchor>
    <xdr:from>
      <xdr:col>1</xdr:col>
      <xdr:colOff>194310</xdr:colOff>
      <xdr:row>6</xdr:row>
      <xdr:rowOff>47625</xdr:rowOff>
    </xdr:from>
    <xdr:to>
      <xdr:col>2</xdr:col>
      <xdr:colOff>1987767</xdr:colOff>
      <xdr:row>8</xdr:row>
      <xdr:rowOff>2996</xdr:rowOff>
    </xdr:to>
    <xdr:sp macro="" textlink="">
      <xdr:nvSpPr>
        <xdr:cNvPr id="4" name="Retângulo: Cantos Arredondados 3">
          <a:extLst>
            <a:ext uri="{FF2B5EF4-FFF2-40B4-BE49-F238E27FC236}">
              <a16:creationId xmlns:a16="http://schemas.microsoft.com/office/drawing/2014/main" xmlns="" id="{00000000-0008-0000-1100-000004000000}"/>
            </a:ext>
          </a:extLst>
        </xdr:cNvPr>
        <xdr:cNvSpPr/>
      </xdr:nvSpPr>
      <xdr:spPr>
        <a:xfrm>
          <a:off x="464820" y="1293495"/>
          <a:ext cx="2678430" cy="290806"/>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DADOS</a:t>
          </a:r>
          <a:r>
            <a:rPr lang="pt-BR" sz="1100" b="1" baseline="0">
              <a:solidFill>
                <a:schemeClr val="lt1"/>
              </a:solidFill>
              <a:effectLst/>
              <a:latin typeface="+mn-lt"/>
              <a:ea typeface="+mn-ea"/>
              <a:cs typeface="+mn-cs"/>
            </a:rPr>
            <a:t> DO FORNECEDOR/</a:t>
          </a:r>
          <a:r>
            <a:rPr lang="pt-BR" sz="1100" b="1">
              <a:solidFill>
                <a:schemeClr val="lt1"/>
              </a:solidFill>
              <a:effectLst/>
              <a:latin typeface="+mn-lt"/>
              <a:ea typeface="+mn-ea"/>
              <a:cs typeface="+mn-cs"/>
            </a:rPr>
            <a:t>SUPPLIER</a:t>
          </a:r>
          <a:r>
            <a:rPr lang="pt-BR" sz="1100" b="1" baseline="0">
              <a:solidFill>
                <a:schemeClr val="lt1"/>
              </a:solidFill>
              <a:effectLst/>
              <a:latin typeface="+mn-lt"/>
              <a:ea typeface="+mn-ea"/>
              <a:cs typeface="+mn-cs"/>
            </a:rPr>
            <a:t> DATA</a:t>
          </a:r>
          <a:endParaRPr lang="pt-BR" sz="1200">
            <a:effectLst/>
          </a:endParaRPr>
        </a:p>
        <a:p>
          <a:pPr algn="ctr">
            <a:lnSpc>
              <a:spcPts val="1100"/>
            </a:lnSpc>
          </a:pPr>
          <a:endParaRPr lang="pt-BR" sz="1200" b="1">
            <a:solidFill>
              <a:schemeClr val="bg1"/>
            </a:solidFill>
          </a:endParaRPr>
        </a:p>
      </xdr:txBody>
    </xdr:sp>
    <xdr:clientData/>
  </xdr:twoCellAnchor>
  <xdr:twoCellAnchor>
    <xdr:from>
      <xdr:col>1</xdr:col>
      <xdr:colOff>177163</xdr:colOff>
      <xdr:row>17</xdr:row>
      <xdr:rowOff>47625</xdr:rowOff>
    </xdr:from>
    <xdr:to>
      <xdr:col>2</xdr:col>
      <xdr:colOff>2157369</xdr:colOff>
      <xdr:row>18</xdr:row>
      <xdr:rowOff>138185</xdr:rowOff>
    </xdr:to>
    <xdr:sp macro="" textlink="">
      <xdr:nvSpPr>
        <xdr:cNvPr id="5" name="Retângulo: Cantos Arredondados 4">
          <a:extLst>
            <a:ext uri="{FF2B5EF4-FFF2-40B4-BE49-F238E27FC236}">
              <a16:creationId xmlns:a16="http://schemas.microsoft.com/office/drawing/2014/main" xmlns="" id="{00000000-0008-0000-1100-000005000000}"/>
            </a:ext>
          </a:extLst>
        </xdr:cNvPr>
        <xdr:cNvSpPr/>
      </xdr:nvSpPr>
      <xdr:spPr>
        <a:xfrm>
          <a:off x="441958" y="3817620"/>
          <a:ext cx="2834642" cy="253929"/>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000"/>
            </a:lnSpc>
            <a:spcBef>
              <a:spcPts val="0"/>
            </a:spcBef>
            <a:spcAft>
              <a:spcPts val="0"/>
            </a:spcAft>
            <a:buClrTx/>
            <a:buSzTx/>
            <a:buFontTx/>
            <a:buNone/>
            <a:tabLst/>
            <a:defRPr/>
          </a:pPr>
          <a:r>
            <a:rPr lang="pt-BR" sz="1100" b="1">
              <a:solidFill>
                <a:schemeClr val="lt1"/>
              </a:solidFill>
              <a:effectLst/>
              <a:latin typeface="+mn-lt"/>
              <a:ea typeface="+mn-ea"/>
              <a:cs typeface="+mn-cs"/>
            </a:rPr>
            <a:t>LISTA</a:t>
          </a:r>
          <a:r>
            <a:rPr lang="pt-BR" sz="1100" b="1" baseline="0">
              <a:solidFill>
                <a:schemeClr val="lt1"/>
              </a:solidFill>
              <a:effectLst/>
              <a:latin typeface="+mn-lt"/>
              <a:ea typeface="+mn-ea"/>
              <a:cs typeface="+mn-cs"/>
            </a:rPr>
            <a:t> DE DOCUMENTOS/</a:t>
          </a:r>
          <a:r>
            <a:rPr lang="pt-BR" sz="1100" b="1">
              <a:solidFill>
                <a:schemeClr val="lt1"/>
              </a:solidFill>
              <a:effectLst/>
              <a:latin typeface="+mn-lt"/>
              <a:ea typeface="+mn-ea"/>
              <a:cs typeface="+mn-cs"/>
            </a:rPr>
            <a:t>DOCUMENTS LIST</a:t>
          </a:r>
          <a:endParaRPr lang="pt-BR" sz="1200">
            <a:effectLst/>
          </a:endParaRPr>
        </a:p>
        <a:p>
          <a:pPr algn="ctr">
            <a:lnSpc>
              <a:spcPts val="1200"/>
            </a:lnSpc>
          </a:pPr>
          <a:endParaRPr lang="pt-BR" sz="1200" b="1">
            <a:solidFill>
              <a:schemeClr val="bg1"/>
            </a:solidFill>
          </a:endParaRPr>
        </a:p>
      </xdr:txBody>
    </xdr:sp>
    <xdr:clientData/>
  </xdr:twoCellAnchor>
  <xdr:twoCellAnchor>
    <xdr:from>
      <xdr:col>1</xdr:col>
      <xdr:colOff>194309</xdr:colOff>
      <xdr:row>34</xdr:row>
      <xdr:rowOff>53340</xdr:rowOff>
    </xdr:from>
    <xdr:to>
      <xdr:col>2</xdr:col>
      <xdr:colOff>1338220</xdr:colOff>
      <xdr:row>35</xdr:row>
      <xdr:rowOff>156870</xdr:rowOff>
    </xdr:to>
    <xdr:sp macro="" textlink="">
      <xdr:nvSpPr>
        <xdr:cNvPr id="6" name="Retângulo: Cantos Arredondados 5">
          <a:extLst>
            <a:ext uri="{FF2B5EF4-FFF2-40B4-BE49-F238E27FC236}">
              <a16:creationId xmlns:a16="http://schemas.microsoft.com/office/drawing/2014/main" xmlns="" id="{00000000-0008-0000-1100-000006000000}"/>
            </a:ext>
          </a:extLst>
        </xdr:cNvPr>
        <xdr:cNvSpPr/>
      </xdr:nvSpPr>
      <xdr:spPr>
        <a:xfrm>
          <a:off x="464819" y="9677400"/>
          <a:ext cx="2154555" cy="261703"/>
        </a:xfrm>
        <a:prstGeom prst="roundRect">
          <a:avLst/>
        </a:prstGeom>
        <a:solidFill>
          <a:srgbClr val="008000"/>
        </a:solidFill>
      </xdr:spPr>
      <xdr:style>
        <a:lnRef idx="1">
          <a:schemeClr val="accent3"/>
        </a:lnRef>
        <a:fillRef idx="3">
          <a:schemeClr val="accent3"/>
        </a:fillRef>
        <a:effectRef idx="2">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pt-BR" sz="1100" b="1">
              <a:solidFill>
                <a:schemeClr val="lt1"/>
              </a:solidFill>
              <a:effectLst/>
              <a:latin typeface="+mn-lt"/>
              <a:ea typeface="+mn-ea"/>
              <a:cs typeface="+mn-cs"/>
            </a:rPr>
            <a:t>QUESTIONÁRIO/QUESTIONNAIRE</a:t>
          </a:r>
          <a:endParaRPr lang="pt-BR" sz="1200">
            <a:effectLst/>
          </a:endParaRPr>
        </a:p>
        <a:p>
          <a:pPr algn="ctr">
            <a:lnSpc>
              <a:spcPts val="1100"/>
            </a:lnSpc>
          </a:pPr>
          <a:endParaRPr lang="pt-BR" sz="1200" b="1">
            <a:solidFill>
              <a:schemeClr val="bg1"/>
            </a:solidFill>
          </a:endParaRPr>
        </a:p>
      </xdr:txBody>
    </xdr:sp>
    <xdr:clientData/>
  </xdr:twoCellAnchor>
  <mc:AlternateContent xmlns:mc="http://schemas.openxmlformats.org/markup-compatibility/2006">
    <mc:Choice xmlns:a14="http://schemas.microsoft.com/office/drawing/2010/main" Requires="a14">
      <xdr:twoCellAnchor editAs="oneCell">
        <xdr:from>
          <xdr:col>3</xdr:col>
          <xdr:colOff>171450</xdr:colOff>
          <xdr:row>4</xdr:row>
          <xdr:rowOff>371475</xdr:rowOff>
        </xdr:from>
        <xdr:to>
          <xdr:col>5</xdr:col>
          <xdr:colOff>361950</xdr:colOff>
          <xdr:row>6</xdr:row>
          <xdr:rowOff>76200</xdr:rowOff>
        </xdr:to>
        <xdr:sp macro="" textlink="">
          <xdr:nvSpPr>
            <xdr:cNvPr id="53256" name="Check Box 8" hidden="1">
              <a:extLst>
                <a:ext uri="{63B3BB69-23CF-44E3-9099-C40C66FF867C}">
                  <a14:compatExt spid="_x0000_s5325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Inglês/English</a:t>
              </a:r>
            </a:p>
          </xdr:txBody>
        </xdr:sp>
        <xdr:clientData fLocksWithSheet="0"/>
      </xdr:twoCellAnchor>
    </mc:Choice>
    <mc:Fallback/>
  </mc:AlternateContent>
  <xdr:twoCellAnchor editAs="oneCell">
    <xdr:from>
      <xdr:col>3</xdr:col>
      <xdr:colOff>161925</xdr:colOff>
      <xdr:row>75</xdr:row>
      <xdr:rowOff>133350</xdr:rowOff>
    </xdr:from>
    <xdr:to>
      <xdr:col>5</xdr:col>
      <xdr:colOff>846027</xdr:colOff>
      <xdr:row>78</xdr:row>
      <xdr:rowOff>128588</xdr:rowOff>
    </xdr:to>
    <xdr:pic>
      <xdr:nvPicPr>
        <xdr:cNvPr id="8" name="Picture 2"/>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010025" y="21478875"/>
          <a:ext cx="1712802" cy="481013"/>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wsDr>
</file>

<file path=xl/drawings/drawing19.xml><?xml version="1.0" encoding="utf-8"?>
<xdr:wsDr xmlns:xdr="http://schemas.openxmlformats.org/drawingml/2006/spreadsheetDrawing" xmlns:a="http://schemas.openxmlformats.org/drawingml/2006/main">
  <xdr:twoCellAnchor>
    <xdr:from>
      <xdr:col>1</xdr:col>
      <xdr:colOff>0</xdr:colOff>
      <xdr:row>0</xdr:row>
      <xdr:rowOff>0</xdr:rowOff>
    </xdr:from>
    <xdr:to>
      <xdr:col>1</xdr:col>
      <xdr:colOff>1276350</xdr:colOff>
      <xdr:row>0</xdr:row>
      <xdr:rowOff>600075</xdr:rowOff>
    </xdr:to>
    <xdr:pic>
      <xdr:nvPicPr>
        <xdr:cNvPr id="7063" name="Picture 1" descr="SGSpantone30mm">
          <a:extLst>
            <a:ext uri="{FF2B5EF4-FFF2-40B4-BE49-F238E27FC236}">
              <a16:creationId xmlns:a16="http://schemas.microsoft.com/office/drawing/2014/main" xmlns="" id="{00000000-0008-0000-1400-00009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0"/>
          <a:ext cx="127635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trlProp" Target="../ctrlProps/ctrlProp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trlProp" Target="../ctrlProps/ctrlProp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trlProp" Target="../ctrlProps/ctrlProp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trlProp" Target="../ctrlProps/ctrlProp5.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6.xml"/><Relationship Id="rId2" Type="http://schemas.openxmlformats.org/officeDocument/2006/relationships/vmlDrawing" Target="../drawings/vmlDrawing6.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9.xml"/><Relationship Id="rId1" Type="http://schemas.openxmlformats.org/officeDocument/2006/relationships/printerSettings" Target="../printerSettings/printerSettings8.bin"/><Relationship Id="rId4" Type="http://schemas.openxmlformats.org/officeDocument/2006/relationships/ctrlProp" Target="../ctrlProps/ctrlProp7.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0.xml"/><Relationship Id="rId1" Type="http://schemas.openxmlformats.org/officeDocument/2006/relationships/printerSettings" Target="../printerSettings/printerSettings9.bin"/><Relationship Id="rId4" Type="http://schemas.openxmlformats.org/officeDocument/2006/relationships/ctrlProp" Target="../ctrlProps/ctrlProp8.xml"/></Relationships>
</file>

<file path=xl/worksheets/_rels/sheet11.xml.rels><?xml version="1.0" encoding="UTF-8" standalone="yes"?>
<Relationships xmlns="http://schemas.openxmlformats.org/package/2006/relationships"><Relationship Id="rId3" Type="http://schemas.openxmlformats.org/officeDocument/2006/relationships/ctrlProp" Target="../ctrlProps/ctrlProp9.xml"/><Relationship Id="rId2" Type="http://schemas.openxmlformats.org/officeDocument/2006/relationships/vmlDrawing" Target="../drawings/vmlDrawing9.vml"/><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3" Type="http://schemas.openxmlformats.org/officeDocument/2006/relationships/ctrlProp" Target="../ctrlProps/ctrlProp10.xml"/><Relationship Id="rId2" Type="http://schemas.openxmlformats.org/officeDocument/2006/relationships/vmlDrawing" Target="../drawings/vmlDrawing10.vml"/><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ctrlProp" Target="../ctrlProps/ctrlProp11.xml"/><Relationship Id="rId2" Type="http://schemas.openxmlformats.org/officeDocument/2006/relationships/vmlDrawing" Target="../drawings/vmlDrawing11.vml"/><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3" Type="http://schemas.openxmlformats.org/officeDocument/2006/relationships/ctrlProp" Target="../ctrlProps/ctrlProp12.xml"/><Relationship Id="rId2" Type="http://schemas.openxmlformats.org/officeDocument/2006/relationships/vmlDrawing" Target="../drawings/vmlDrawing12.vml"/><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5.xml"/><Relationship Id="rId1" Type="http://schemas.openxmlformats.org/officeDocument/2006/relationships/printerSettings" Target="../printerSettings/printerSettings10.bin"/><Relationship Id="rId4" Type="http://schemas.openxmlformats.org/officeDocument/2006/relationships/ctrlProp" Target="../ctrlProps/ctrlProp13.xml"/></Relationships>
</file>

<file path=xl/worksheets/_rels/sheet16.xml.rels><?xml version="1.0" encoding="UTF-8" standalone="yes"?>
<Relationships xmlns="http://schemas.openxmlformats.org/package/2006/relationships"><Relationship Id="rId3" Type="http://schemas.openxmlformats.org/officeDocument/2006/relationships/ctrlProp" Target="../ctrlProps/ctrlProp14.xml"/><Relationship Id="rId2" Type="http://schemas.openxmlformats.org/officeDocument/2006/relationships/vmlDrawing" Target="../drawings/vmlDrawing14.vml"/><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ctrlProp" Target="../ctrlProps/ctrlProp15.xml"/><Relationship Id="rId2" Type="http://schemas.openxmlformats.org/officeDocument/2006/relationships/vmlDrawing" Target="../drawings/vmlDrawing15.vml"/><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8.xml"/><Relationship Id="rId1" Type="http://schemas.openxmlformats.org/officeDocument/2006/relationships/printerSettings" Target="../printerSettings/printerSettings11.bin"/><Relationship Id="rId4" Type="http://schemas.openxmlformats.org/officeDocument/2006/relationships/ctrlProp" Target="../ctrlProps/ctrlProp16.xml"/></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2">
    <pageSetUpPr fitToPage="1"/>
  </sheetPr>
  <dimension ref="A1:IU47"/>
  <sheetViews>
    <sheetView showGridLines="0" topLeftCell="A16" zoomScale="120" zoomScaleNormal="120" workbookViewId="0">
      <selection sqref="A1:A4"/>
    </sheetView>
  </sheetViews>
  <sheetFormatPr defaultColWidth="0" defaultRowHeight="12.75" zeroHeight="1" x14ac:dyDescent="0.2"/>
  <cols>
    <col min="1" max="1" width="27.42578125" customWidth="1"/>
    <col min="2" max="2" width="75.42578125" customWidth="1"/>
    <col min="3" max="3" width="27" customWidth="1"/>
    <col min="4" max="4" width="2.42578125" customWidth="1"/>
    <col min="5" max="255" width="9.140625" hidden="1" customWidth="1"/>
    <col min="256" max="16384" width="2.7109375" hidden="1"/>
  </cols>
  <sheetData>
    <row r="1" spans="1:4" ht="12.75" customHeight="1" x14ac:dyDescent="0.2">
      <c r="A1" s="139"/>
      <c r="B1" s="141" t="s">
        <v>38</v>
      </c>
      <c r="C1" s="147" t="s">
        <v>42</v>
      </c>
      <c r="D1" s="10"/>
    </row>
    <row r="2" spans="1:4" ht="12.75" customHeight="1" x14ac:dyDescent="0.2">
      <c r="A2" s="139"/>
      <c r="B2" s="142"/>
      <c r="C2" s="148"/>
    </row>
    <row r="3" spans="1:4" ht="12.75" customHeight="1" x14ac:dyDescent="0.2">
      <c r="A3" s="139"/>
      <c r="B3" s="142"/>
      <c r="C3" s="148" t="s">
        <v>80</v>
      </c>
    </row>
    <row r="4" spans="1:4" ht="13.5" customHeight="1" thickBot="1" x14ac:dyDescent="0.25">
      <c r="A4" s="140"/>
      <c r="B4" s="143"/>
      <c r="C4" s="149"/>
    </row>
    <row r="5" spans="1:4" ht="3.75" customHeight="1" x14ac:dyDescent="0.2"/>
    <row r="6" spans="1:4" ht="27.75" customHeight="1" x14ac:dyDescent="0.2">
      <c r="A6" s="17"/>
      <c r="B6" s="17"/>
      <c r="C6" s="17"/>
    </row>
    <row r="7" spans="1:4" ht="35.25" customHeight="1" thickBot="1" x14ac:dyDescent="0.25"/>
    <row r="8" spans="1:4" ht="15" customHeight="1" thickBot="1" x14ac:dyDescent="0.25">
      <c r="A8" s="136" t="s">
        <v>78</v>
      </c>
      <c r="B8" s="137"/>
      <c r="C8" s="138"/>
    </row>
    <row r="9" spans="1:4" ht="37.9" customHeight="1" thickBot="1" x14ac:dyDescent="0.25">
      <c r="A9" s="144" t="s">
        <v>39</v>
      </c>
      <c r="B9" s="145"/>
      <c r="C9" s="146"/>
    </row>
    <row r="10" spans="1:4" ht="12.75" customHeight="1" x14ac:dyDescent="0.2">
      <c r="A10" s="11"/>
      <c r="C10" s="12"/>
    </row>
    <row r="11" spans="1:4" ht="12.75" customHeight="1" x14ac:dyDescent="0.2">
      <c r="A11" s="11"/>
      <c r="C11" s="12"/>
    </row>
    <row r="12" spans="1:4" ht="12.75" customHeight="1" x14ac:dyDescent="0.2">
      <c r="A12" s="11"/>
      <c r="C12" s="12"/>
    </row>
    <row r="13" spans="1:4" ht="12.75" customHeight="1" x14ac:dyDescent="0.2">
      <c r="A13" s="11"/>
      <c r="C13" s="12"/>
    </row>
    <row r="14" spans="1:4" ht="12.75" customHeight="1" x14ac:dyDescent="0.2">
      <c r="A14" s="11"/>
      <c r="C14" s="12"/>
    </row>
    <row r="15" spans="1:4" ht="12.75" customHeight="1" x14ac:dyDescent="0.2">
      <c r="A15" s="11"/>
      <c r="C15" s="12"/>
    </row>
    <row r="16" spans="1:4" ht="12.75" customHeight="1" x14ac:dyDescent="0.2">
      <c r="A16" s="11"/>
      <c r="C16" s="12"/>
    </row>
    <row r="17" spans="1:3" ht="12.75" customHeight="1" x14ac:dyDescent="0.2">
      <c r="A17" s="11"/>
      <c r="C17" s="12"/>
    </row>
    <row r="18" spans="1:3" ht="12.75" customHeight="1" x14ac:dyDescent="0.2">
      <c r="A18" s="11"/>
      <c r="C18" s="12"/>
    </row>
    <row r="19" spans="1:3" ht="12.75" customHeight="1" x14ac:dyDescent="0.2">
      <c r="A19" s="11"/>
      <c r="C19" s="12"/>
    </row>
    <row r="20" spans="1:3" ht="12.75" customHeight="1" x14ac:dyDescent="0.2">
      <c r="A20" s="11"/>
      <c r="C20" s="12"/>
    </row>
    <row r="21" spans="1:3" ht="12.75" customHeight="1" x14ac:dyDescent="0.2">
      <c r="A21" s="11"/>
      <c r="C21" s="12"/>
    </row>
    <row r="22" spans="1:3" ht="13.5" customHeight="1" thickBot="1" x14ac:dyDescent="0.25">
      <c r="A22" s="11"/>
      <c r="C22" s="12"/>
    </row>
    <row r="23" spans="1:3" ht="13.5" customHeight="1" thickBot="1" x14ac:dyDescent="0.25">
      <c r="A23" s="136" t="s">
        <v>79</v>
      </c>
      <c r="B23" s="137"/>
      <c r="C23" s="138"/>
    </row>
    <row r="24" spans="1:3" ht="37.9" customHeight="1" thickBot="1" x14ac:dyDescent="0.25">
      <c r="A24" s="144" t="s">
        <v>40</v>
      </c>
      <c r="B24" s="145"/>
      <c r="C24" s="146"/>
    </row>
    <row r="25" spans="1:3" x14ac:dyDescent="0.2">
      <c r="A25" s="11"/>
      <c r="C25" s="12"/>
    </row>
    <row r="26" spans="1:3" x14ac:dyDescent="0.2">
      <c r="A26" s="11"/>
      <c r="C26" s="12"/>
    </row>
    <row r="27" spans="1:3" x14ac:dyDescent="0.2">
      <c r="A27" s="11"/>
      <c r="C27" s="12"/>
    </row>
    <row r="28" spans="1:3" x14ac:dyDescent="0.2">
      <c r="A28" s="11"/>
      <c r="C28" s="12"/>
    </row>
    <row r="29" spans="1:3" x14ac:dyDescent="0.2">
      <c r="A29" s="11"/>
      <c r="C29" s="12"/>
    </row>
    <row r="30" spans="1:3" x14ac:dyDescent="0.2">
      <c r="A30" s="11"/>
      <c r="C30" s="12"/>
    </row>
    <row r="31" spans="1:3" x14ac:dyDescent="0.2">
      <c r="A31" s="11"/>
      <c r="C31" s="12"/>
    </row>
    <row r="32" spans="1:3" x14ac:dyDescent="0.2">
      <c r="A32" s="11"/>
      <c r="C32" s="12"/>
    </row>
    <row r="33" spans="1:3" x14ac:dyDescent="0.2">
      <c r="A33" s="11"/>
      <c r="C33" s="12"/>
    </row>
    <row r="34" spans="1:3" x14ac:dyDescent="0.2">
      <c r="A34" s="11"/>
      <c r="C34" s="12"/>
    </row>
    <row r="35" spans="1:3" x14ac:dyDescent="0.2">
      <c r="A35" s="11"/>
      <c r="C35" s="12"/>
    </row>
    <row r="36" spans="1:3" x14ac:dyDescent="0.2">
      <c r="A36" s="11"/>
      <c r="C36" s="12"/>
    </row>
    <row r="37" spans="1:3" x14ac:dyDescent="0.2">
      <c r="A37" s="11"/>
      <c r="C37" s="12"/>
    </row>
    <row r="38" spans="1:3" x14ac:dyDescent="0.2">
      <c r="A38" s="11"/>
      <c r="C38" s="12"/>
    </row>
    <row r="39" spans="1:3" ht="13.5" thickBot="1" x14ac:dyDescent="0.25">
      <c r="A39" s="13"/>
      <c r="B39" s="14"/>
      <c r="C39" s="15"/>
    </row>
    <row r="40" spans="1:3" x14ac:dyDescent="0.2"/>
    <row r="41" spans="1:3" x14ac:dyDescent="0.2"/>
    <row r="42" spans="1:3" x14ac:dyDescent="0.2"/>
    <row r="43" spans="1:3" x14ac:dyDescent="0.2"/>
    <row r="44" spans="1:3" x14ac:dyDescent="0.2"/>
    <row r="45" spans="1:3" x14ac:dyDescent="0.2"/>
    <row r="46" spans="1:3" x14ac:dyDescent="0.2"/>
    <row r="47" spans="1:3" x14ac:dyDescent="0.2"/>
  </sheetData>
  <sheetProtection algorithmName="SHA-512" hashValue="5MTuFh6a4DegQwqvq5XKGWg1X1zr7jZdX9M4+Q0a+6Kiye5zUqjdf042K3Ai/OFs0RA2l5W2UGAv7oAbaL/0Qg==" saltValue="wkkKC7T5njjJQI+vWW3oYg==" spinCount="100000" sheet="1" objects="1" scenarios="1"/>
  <mergeCells count="8">
    <mergeCell ref="A8:C8"/>
    <mergeCell ref="A1:A4"/>
    <mergeCell ref="B1:B4"/>
    <mergeCell ref="A9:C9"/>
    <mergeCell ref="A24:C24"/>
    <mergeCell ref="C1:C2"/>
    <mergeCell ref="C3:C4"/>
    <mergeCell ref="A23:C23"/>
  </mergeCells>
  <pageMargins left="0.511811024" right="0.511811024" top="0.78740157499999996" bottom="0.78740157499999996" header="0.31496062000000002" footer="0.31496062000000002"/>
  <pageSetup paperSize="9" scale="71"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3"/>
  <dimension ref="A1:D38"/>
  <sheetViews>
    <sheetView showGridLines="0" zoomScale="130" zoomScaleNormal="130" workbookViewId="0">
      <selection activeCell="A8" sqref="A8:D8"/>
    </sheetView>
  </sheetViews>
  <sheetFormatPr defaultColWidth="0" defaultRowHeight="12.75" x14ac:dyDescent="0.2"/>
  <cols>
    <col min="1" max="1" width="30.7109375" customWidth="1"/>
    <col min="2" max="2" width="40.140625" customWidth="1"/>
    <col min="3" max="3" width="35.5703125" customWidth="1"/>
    <col min="4" max="4" width="27" customWidth="1"/>
    <col min="5" max="5" width="2.42578125" customWidth="1"/>
  </cols>
  <sheetData>
    <row r="1" spans="1:4" ht="12.75" customHeight="1" x14ac:dyDescent="0.2">
      <c r="A1" s="139"/>
      <c r="B1" s="159" t="s">
        <v>27</v>
      </c>
      <c r="C1" s="160"/>
      <c r="D1" s="147" t="s">
        <v>42</v>
      </c>
    </row>
    <row r="2" spans="1:4" ht="12.75" customHeight="1" x14ac:dyDescent="0.2">
      <c r="A2" s="139"/>
      <c r="B2" s="159"/>
      <c r="C2" s="160"/>
      <c r="D2" s="148"/>
    </row>
    <row r="3" spans="1:4" ht="12.75" customHeight="1" x14ac:dyDescent="0.2">
      <c r="A3" s="139"/>
      <c r="B3" s="159"/>
      <c r="C3" s="160"/>
      <c r="D3" s="148" t="s">
        <v>80</v>
      </c>
    </row>
    <row r="4" spans="1:4" ht="22.5" customHeight="1" thickBot="1" x14ac:dyDescent="0.25">
      <c r="A4" s="140"/>
      <c r="B4" s="161"/>
      <c r="C4" s="162"/>
      <c r="D4" s="149"/>
    </row>
    <row r="6" spans="1:4" x14ac:dyDescent="0.2">
      <c r="A6" s="10" t="s">
        <v>28</v>
      </c>
      <c r="B6" s="10"/>
    </row>
    <row r="8" spans="1:4" ht="28.15" customHeight="1" x14ac:dyDescent="0.2">
      <c r="A8" s="153" t="s">
        <v>9</v>
      </c>
      <c r="B8" s="153"/>
      <c r="C8" s="163"/>
      <c r="D8" s="163"/>
    </row>
    <row r="9" spans="1:4" s="155" customFormat="1" ht="28.15" customHeight="1" x14ac:dyDescent="0.2">
      <c r="A9" s="155" t="s">
        <v>23</v>
      </c>
    </row>
    <row r="11" spans="1:4" ht="30" customHeight="1" x14ac:dyDescent="0.2">
      <c r="A11" s="158" t="s">
        <v>32</v>
      </c>
      <c r="B11" s="158"/>
      <c r="C11" s="158"/>
      <c r="D11" s="158"/>
    </row>
    <row r="12" spans="1:4" ht="34.9" customHeight="1" x14ac:dyDescent="0.2">
      <c r="A12" s="158" t="s">
        <v>31</v>
      </c>
      <c r="B12" s="158"/>
      <c r="C12" s="158"/>
      <c r="D12" s="158"/>
    </row>
    <row r="14" spans="1:4" x14ac:dyDescent="0.2">
      <c r="A14" s="152" t="s">
        <v>29</v>
      </c>
      <c r="B14" s="152"/>
      <c r="C14" s="152"/>
      <c r="D14" s="152"/>
    </row>
    <row r="15" spans="1:4" x14ac:dyDescent="0.2">
      <c r="A15" s="156" t="s">
        <v>33</v>
      </c>
      <c r="B15" s="156"/>
      <c r="C15" s="156"/>
    </row>
    <row r="16" spans="1:4" ht="24.75" customHeight="1" x14ac:dyDescent="0.2"/>
    <row r="17" spans="1:4" ht="24.75" customHeight="1" x14ac:dyDescent="0.2">
      <c r="A17" s="151" t="s">
        <v>10</v>
      </c>
      <c r="B17" s="151"/>
      <c r="C17" s="151"/>
      <c r="D17" s="151"/>
    </row>
    <row r="18" spans="1:4" ht="24.75" customHeight="1" x14ac:dyDescent="0.2">
      <c r="A18" s="157" t="s">
        <v>34</v>
      </c>
      <c r="B18" s="157"/>
      <c r="C18" s="157"/>
      <c r="D18" s="157"/>
    </row>
    <row r="19" spans="1:4" x14ac:dyDescent="0.2">
      <c r="A19" s="18"/>
      <c r="B19" s="18"/>
    </row>
    <row r="20" spans="1:4" x14ac:dyDescent="0.2">
      <c r="A20" s="152" t="s">
        <v>30</v>
      </c>
      <c r="B20" s="152"/>
      <c r="C20" s="152"/>
      <c r="D20" s="152"/>
    </row>
    <row r="21" spans="1:4" x14ac:dyDescent="0.2">
      <c r="A21" s="152" t="s">
        <v>35</v>
      </c>
      <c r="B21" s="152"/>
      <c r="C21" s="152"/>
    </row>
    <row r="23" spans="1:4" ht="13.15" customHeight="1" x14ac:dyDescent="0.2">
      <c r="A23" s="155" t="s">
        <v>12</v>
      </c>
      <c r="B23" s="155"/>
      <c r="C23" s="155"/>
      <c r="D23" s="155"/>
    </row>
    <row r="24" spans="1:4" ht="8.4499999999999993" customHeight="1" x14ac:dyDescent="0.2">
      <c r="A24" s="155"/>
      <c r="B24" s="155"/>
      <c r="C24" s="155"/>
      <c r="D24" s="155"/>
    </row>
    <row r="25" spans="1:4" ht="21.6" customHeight="1" x14ac:dyDescent="0.2">
      <c r="A25" s="155" t="s">
        <v>26</v>
      </c>
      <c r="B25" s="155"/>
      <c r="C25" s="155"/>
      <c r="D25" s="155"/>
    </row>
    <row r="27" spans="1:4" x14ac:dyDescent="0.2">
      <c r="A27" s="153" t="s">
        <v>22</v>
      </c>
      <c r="B27" s="153"/>
      <c r="C27" s="153"/>
      <c r="D27" s="153"/>
    </row>
    <row r="28" spans="1:4" x14ac:dyDescent="0.2">
      <c r="A28" s="153"/>
      <c r="B28" s="153"/>
      <c r="C28" s="153"/>
      <c r="D28" s="153"/>
    </row>
    <row r="29" spans="1:4" ht="36" customHeight="1" x14ac:dyDescent="0.2">
      <c r="A29" s="155" t="s">
        <v>36</v>
      </c>
      <c r="B29" s="155"/>
      <c r="C29" s="155"/>
      <c r="D29" s="155"/>
    </row>
    <row r="30" spans="1:4" x14ac:dyDescent="0.2">
      <c r="A30" s="153" t="s">
        <v>11</v>
      </c>
      <c r="B30" s="153"/>
      <c r="C30" s="153"/>
      <c r="D30" s="153"/>
    </row>
    <row r="31" spans="1:4" x14ac:dyDescent="0.2">
      <c r="A31" s="153"/>
      <c r="B31" s="153"/>
      <c r="C31" s="153"/>
      <c r="D31" s="153"/>
    </row>
    <row r="32" spans="1:4" x14ac:dyDescent="0.2">
      <c r="A32" s="156" t="s">
        <v>37</v>
      </c>
      <c r="B32" s="156"/>
      <c r="C32" s="156"/>
      <c r="D32" s="156"/>
    </row>
    <row r="37" spans="3:4" x14ac:dyDescent="0.2">
      <c r="C37" s="154" t="s">
        <v>24</v>
      </c>
      <c r="D37" s="139"/>
    </row>
    <row r="38" spans="3:4" x14ac:dyDescent="0.2">
      <c r="C38" s="150" t="s">
        <v>25</v>
      </c>
      <c r="D38" s="150"/>
    </row>
  </sheetData>
  <sheetProtection algorithmName="SHA-512" hashValue="SgLjbegvSZAH0vDRrcKximJi9xtylwpx8p0hTQLu3nO/d5Sns35NCq/1WEa30rRYjKipXO8if5sqXL1KDk1ZpQ==" saltValue="gd+ILDf/YTwG9aKUv6Qa3w==" spinCount="100000" sheet="1"/>
  <mergeCells count="22">
    <mergeCell ref="D1:D2"/>
    <mergeCell ref="A23:D24"/>
    <mergeCell ref="A18:D18"/>
    <mergeCell ref="A11:D11"/>
    <mergeCell ref="B1:C4"/>
    <mergeCell ref="A1:A4"/>
    <mergeCell ref="A8:D8"/>
    <mergeCell ref="A12:D12"/>
    <mergeCell ref="A9:XFD9"/>
    <mergeCell ref="D3:D4"/>
    <mergeCell ref="A14:D14"/>
    <mergeCell ref="A21:C21"/>
    <mergeCell ref="A15:C15"/>
    <mergeCell ref="C38:D38"/>
    <mergeCell ref="A17:D17"/>
    <mergeCell ref="A20:D20"/>
    <mergeCell ref="A27:D28"/>
    <mergeCell ref="C37:D37"/>
    <mergeCell ref="A29:D29"/>
    <mergeCell ref="A25:D25"/>
    <mergeCell ref="A30:D31"/>
    <mergeCell ref="A32:D32"/>
  </mergeCells>
  <pageMargins left="0.511811024" right="0.511811024" top="0.78740157499999996" bottom="0.78740157499999996" header="0.31496062000000002" footer="0.31496062000000002"/>
  <pageSetup paperSize="9" orientation="portrait" horizontalDpi="0" verticalDpi="0"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4"/>
  <dimension ref="A1:K127"/>
  <sheetViews>
    <sheetView showGridLines="0" workbookViewId="0">
      <selection activeCell="D41" sqref="D41:E41"/>
    </sheetView>
  </sheetViews>
  <sheetFormatPr defaultColWidth="0" defaultRowHeight="12.75" x14ac:dyDescent="0.2"/>
  <cols>
    <col min="1" max="1" width="4.5703125" customWidth="1"/>
    <col min="2" max="2" width="18.7109375" customWidth="1"/>
    <col min="3" max="3" width="29.28515625" customWidth="1"/>
    <col min="4" max="5" width="7.7109375" style="67" customWidth="1"/>
    <col min="6" max="6" width="20.7109375" style="67" customWidth="1"/>
    <col min="7" max="7" width="11.42578125" style="67" customWidth="1"/>
    <col min="8" max="8" width="20.7109375" customWidth="1"/>
    <col min="9" max="9" width="18.7109375" customWidth="1"/>
    <col min="10" max="10" width="15.7109375" style="10" customWidth="1"/>
    <col min="11" max="11" width="13.28515625" hidden="1" customWidth="1"/>
  </cols>
  <sheetData>
    <row r="1" spans="1:10" ht="12.75" customHeight="1" x14ac:dyDescent="0.2">
      <c r="A1" s="195"/>
      <c r="B1" s="196"/>
      <c r="C1" s="193" t="s">
        <v>77</v>
      </c>
      <c r="D1" s="159"/>
      <c r="E1" s="159"/>
      <c r="F1" s="159"/>
      <c r="G1" s="159"/>
      <c r="H1" s="159"/>
      <c r="I1" s="160"/>
      <c r="J1" s="190" t="s">
        <v>42</v>
      </c>
    </row>
    <row r="2" spans="1:10" ht="17.25" customHeight="1" x14ac:dyDescent="0.2">
      <c r="A2" s="197"/>
      <c r="B2" s="198"/>
      <c r="C2" s="193"/>
      <c r="D2" s="159"/>
      <c r="E2" s="159"/>
      <c r="F2" s="159"/>
      <c r="G2" s="159"/>
      <c r="H2" s="159"/>
      <c r="I2" s="160"/>
      <c r="J2" s="191"/>
    </row>
    <row r="3" spans="1:10" ht="12.75" customHeight="1" x14ac:dyDescent="0.2">
      <c r="A3" s="197"/>
      <c r="B3" s="198"/>
      <c r="C3" s="193"/>
      <c r="D3" s="159"/>
      <c r="E3" s="159"/>
      <c r="F3" s="159"/>
      <c r="G3" s="159"/>
      <c r="H3" s="159"/>
      <c r="I3" s="160"/>
      <c r="J3" s="191" t="s">
        <v>80</v>
      </c>
    </row>
    <row r="4" spans="1:10" ht="22.5" customHeight="1" thickBot="1" x14ac:dyDescent="0.25">
      <c r="A4" s="199"/>
      <c r="B4" s="200"/>
      <c r="C4" s="194"/>
      <c r="D4" s="161"/>
      <c r="E4" s="161"/>
      <c r="F4" s="161"/>
      <c r="G4" s="161"/>
      <c r="H4" s="161"/>
      <c r="I4" s="162"/>
      <c r="J4" s="192"/>
    </row>
    <row r="5" spans="1:10" ht="27.75" customHeight="1" x14ac:dyDescent="0.2">
      <c r="B5" s="203" t="s">
        <v>43</v>
      </c>
      <c r="C5" s="203"/>
      <c r="D5" s="203"/>
      <c r="E5" s="203"/>
      <c r="F5" s="203"/>
      <c r="G5" s="203"/>
      <c r="H5" s="203"/>
    </row>
    <row r="6" spans="1:10" x14ac:dyDescent="0.2">
      <c r="B6" s="10"/>
      <c r="C6" s="111"/>
      <c r="D6" s="66"/>
      <c r="E6" s="202"/>
      <c r="F6" s="202"/>
    </row>
    <row r="7" spans="1:10" ht="7.5" customHeight="1" x14ac:dyDescent="0.2">
      <c r="B7" s="10"/>
      <c r="C7" s="10"/>
      <c r="D7" s="66"/>
      <c r="E7" s="66"/>
      <c r="F7" s="66"/>
    </row>
    <row r="8" spans="1:10" x14ac:dyDescent="0.2">
      <c r="B8" s="10"/>
      <c r="C8" s="10"/>
      <c r="D8" s="66"/>
      <c r="E8" s="66"/>
      <c r="F8" s="66"/>
    </row>
    <row r="9" spans="1:10" ht="11.25" customHeight="1" x14ac:dyDescent="0.2">
      <c r="B9" s="19"/>
      <c r="C9" s="20"/>
      <c r="D9" s="68"/>
      <c r="E9" s="68"/>
      <c r="F9" s="68"/>
      <c r="G9" s="69"/>
      <c r="H9" s="21"/>
      <c r="I9" s="22"/>
    </row>
    <row r="10" spans="1:10" x14ac:dyDescent="0.2">
      <c r="B10" s="23"/>
      <c r="C10" s="10"/>
      <c r="D10" s="66"/>
      <c r="E10" s="66"/>
      <c r="F10" s="66"/>
      <c r="I10" s="24"/>
      <c r="J10" s="128" t="b">
        <v>0</v>
      </c>
    </row>
    <row r="11" spans="1:10" ht="18" customHeight="1" x14ac:dyDescent="0.25">
      <c r="B11" s="25" t="str">
        <f>IF($J$10=TRUE,"Corporate Name:","Razão Social:")</f>
        <v>Razão Social:</v>
      </c>
      <c r="C11" s="204"/>
      <c r="D11" s="204"/>
      <c r="E11" s="204"/>
      <c r="F11" s="204"/>
      <c r="G11" s="204"/>
      <c r="H11" s="204"/>
      <c r="I11" s="26"/>
    </row>
    <row r="12" spans="1:10" ht="18" customHeight="1" x14ac:dyDescent="0.25">
      <c r="B12" s="25" t="str">
        <f>IF($J$10=TRUE,"Fantasy Name:","Nome Fantasia:")</f>
        <v>Nome Fantasia:</v>
      </c>
      <c r="C12" s="204"/>
      <c r="D12" s="204"/>
      <c r="E12" s="204"/>
      <c r="F12" s="204"/>
      <c r="G12" s="204"/>
      <c r="H12" s="204"/>
      <c r="I12" s="24"/>
    </row>
    <row r="13" spans="1:10" ht="18" customHeight="1" x14ac:dyDescent="0.25">
      <c r="B13" s="25" t="str">
        <f>IF($J$10=TRUE,"TIN:","CNPJ:")</f>
        <v>CNPJ:</v>
      </c>
      <c r="C13" s="204"/>
      <c r="D13" s="204"/>
      <c r="E13" s="204"/>
      <c r="F13" s="204"/>
      <c r="G13" s="204"/>
      <c r="H13" s="204"/>
      <c r="I13" s="26"/>
    </row>
    <row r="14" spans="1:10" ht="18" customHeight="1" x14ac:dyDescent="0.25">
      <c r="B14" s="25" t="str">
        <f>IF($J$10=TRUE,"Adress:","Endereço:")</f>
        <v>Endereço:</v>
      </c>
      <c r="C14" s="204"/>
      <c r="D14" s="204"/>
      <c r="E14" s="204"/>
      <c r="F14" s="204"/>
      <c r="G14" s="204"/>
      <c r="H14" s="204"/>
      <c r="I14" s="27"/>
    </row>
    <row r="15" spans="1:10" ht="18" customHeight="1" x14ac:dyDescent="0.2">
      <c r="B15" s="164" t="str">
        <f>IF($J$10=TRUE,"Product supplied to ICC Brazil:","Produto (s) fornecido (s) para a ICC:")</f>
        <v>Produto (s) fornecido (s) para a ICC:</v>
      </c>
      <c r="C15" s="165"/>
      <c r="D15" s="174"/>
      <c r="E15" s="174"/>
      <c r="F15" s="174"/>
      <c r="G15" s="174"/>
      <c r="H15" s="174"/>
      <c r="I15" s="24"/>
    </row>
    <row r="16" spans="1:10" ht="18" customHeight="1" x14ac:dyDescent="0.2">
      <c r="B16" s="164" t="str">
        <f>IF($J$10=TRUE,"Yeast species and strain","Código da CEPA:")</f>
        <v>Código da CEPA:</v>
      </c>
      <c r="C16" s="165"/>
      <c r="D16" s="174"/>
      <c r="E16" s="174"/>
      <c r="F16" s="174"/>
      <c r="G16" s="174"/>
      <c r="H16" s="174"/>
      <c r="I16" s="24"/>
    </row>
    <row r="17" spans="2:9" ht="18" customHeight="1" x14ac:dyDescent="0.2">
      <c r="B17" s="164" t="str">
        <f>IF($J$10=TRUE,"CEO:","Responsável Técnico:")</f>
        <v>Responsável Técnico:</v>
      </c>
      <c r="C17" s="165"/>
      <c r="D17" s="131"/>
      <c r="E17" s="131"/>
      <c r="F17" s="131"/>
      <c r="G17" s="131"/>
      <c r="H17" s="131"/>
      <c r="I17" s="24"/>
    </row>
    <row r="18" spans="2:9" x14ac:dyDescent="0.2">
      <c r="B18" s="28"/>
      <c r="C18" s="29"/>
      <c r="D18" s="70"/>
      <c r="E18" s="70"/>
      <c r="F18" s="70"/>
      <c r="G18" s="71"/>
      <c r="H18" s="30"/>
      <c r="I18" s="31"/>
    </row>
    <row r="19" spans="2:9" x14ac:dyDescent="0.2">
      <c r="B19" s="16"/>
      <c r="C19" s="16"/>
      <c r="D19" s="72"/>
      <c r="E19" s="72"/>
      <c r="F19" s="72"/>
    </row>
    <row r="20" spans="2:9" x14ac:dyDescent="0.2">
      <c r="B20" s="16"/>
      <c r="C20" s="16"/>
      <c r="D20" s="72"/>
      <c r="E20" s="72"/>
      <c r="F20" s="72"/>
    </row>
    <row r="21" spans="2:9" x14ac:dyDescent="0.2">
      <c r="B21" s="33"/>
      <c r="C21" s="34"/>
      <c r="D21" s="73"/>
      <c r="E21" s="73"/>
      <c r="F21" s="73"/>
      <c r="G21" s="69"/>
      <c r="H21" s="21"/>
      <c r="I21" s="22"/>
    </row>
    <row r="22" spans="2:9" x14ac:dyDescent="0.2">
      <c r="B22" s="35"/>
      <c r="C22" s="16"/>
      <c r="D22" s="72"/>
      <c r="E22" s="72"/>
      <c r="F22" s="72"/>
      <c r="I22" s="24"/>
    </row>
    <row r="23" spans="2:9" x14ac:dyDescent="0.2">
      <c r="B23" s="35"/>
      <c r="C23" s="205" t="str">
        <f>IF($J$10=TRUE,"Please select the submitted documents below","Selecione abaixo os documentos enviados.")</f>
        <v>Selecione abaixo os documentos enviados.</v>
      </c>
      <c r="D23" s="205"/>
      <c r="E23" s="205"/>
      <c r="F23" s="205"/>
      <c r="G23" s="205"/>
      <c r="H23" s="205"/>
      <c r="I23" s="24"/>
    </row>
    <row r="24" spans="2:9" x14ac:dyDescent="0.2">
      <c r="B24" s="35"/>
      <c r="C24" s="44" t="str">
        <f>IF($J$10=TRUE,"REQUIREMENT","REQUISITO")</f>
        <v>REQUISITO</v>
      </c>
      <c r="D24" s="206" t="str">
        <f>IF($J$10=TRUE,"SENT","ENVIADO")</f>
        <v>ENVIADO</v>
      </c>
      <c r="E24" s="206"/>
      <c r="F24" s="187" t="str">
        <f>IF($J$10=TRUE,"DOCUMENTS","DOCUMENTOS")</f>
        <v>DOCUMENTOS</v>
      </c>
      <c r="G24" s="188"/>
      <c r="H24" s="189"/>
      <c r="I24" s="24"/>
    </row>
    <row r="25" spans="2:9" ht="12.75" customHeight="1" x14ac:dyDescent="0.2">
      <c r="B25" s="35"/>
      <c r="C25" s="47" t="str">
        <f t="shared" ref="C25:C30" si="0">IF($J$10=TRUE,"Mandatory","Obrigatório")</f>
        <v>Obrigatório</v>
      </c>
      <c r="D25" s="201"/>
      <c r="E25" s="201"/>
      <c r="F25" s="178" t="str">
        <f>IF($J$10=TRUE,"Product registration with the Responsible Organ of the country of origin","Registro do produto junto ao órgão responsável")</f>
        <v>Registro do produto junto ao órgão responsável</v>
      </c>
      <c r="G25" s="179"/>
      <c r="H25" s="180"/>
      <c r="I25" s="24"/>
    </row>
    <row r="26" spans="2:9" ht="12.75" customHeight="1" x14ac:dyDescent="0.2">
      <c r="B26" s="35"/>
      <c r="C26" s="47" t="str">
        <f t="shared" si="0"/>
        <v>Obrigatório</v>
      </c>
      <c r="D26" s="201"/>
      <c r="E26" s="201"/>
      <c r="F26" s="178" t="str">
        <f>IF($J$10=TRUE,"Proof of company registration with regulatory agencies","Comprovante de registro da empresa junto aos órgãos reguladores")</f>
        <v>Comprovante de registro da empresa junto aos órgãos reguladores</v>
      </c>
      <c r="G26" s="179"/>
      <c r="H26" s="180"/>
      <c r="I26" s="24"/>
    </row>
    <row r="27" spans="2:9" ht="12.75" customHeight="1" x14ac:dyDescent="0.2">
      <c r="B27" s="35"/>
      <c r="C27" s="47" t="str">
        <f t="shared" si="0"/>
        <v>Obrigatório</v>
      </c>
      <c r="D27" s="201"/>
      <c r="E27" s="201"/>
      <c r="F27" s="178" t="str">
        <f>IF($J$10=TRUE,"Technical Specification Sheet (TS)","Ficha de Especificações Técnicas")</f>
        <v>Ficha de Especificações Técnicas</v>
      </c>
      <c r="G27" s="179"/>
      <c r="H27" s="180"/>
      <c r="I27" s="24"/>
    </row>
    <row r="28" spans="2:9" x14ac:dyDescent="0.2">
      <c r="B28" s="35"/>
      <c r="C28" s="47" t="str">
        <f t="shared" si="0"/>
        <v>Obrigatório</v>
      </c>
      <c r="D28" s="201"/>
      <c r="E28" s="201"/>
      <c r="F28" s="178" t="str">
        <f>IF($J$10=TRUE,"Material Safety Data Sheet (MSDS)","FISPQ")</f>
        <v>FISPQ</v>
      </c>
      <c r="G28" s="179"/>
      <c r="H28" s="180"/>
      <c r="I28" s="24"/>
    </row>
    <row r="29" spans="2:9" ht="12.75" customHeight="1" x14ac:dyDescent="0.2">
      <c r="B29" s="35"/>
      <c r="C29" s="47" t="str">
        <f t="shared" si="0"/>
        <v>Obrigatório</v>
      </c>
      <c r="D29" s="201"/>
      <c r="E29" s="201"/>
      <c r="F29" s="178" t="str">
        <f>IF($J$10=TRUE,"Product Flowchart (including PCCs)","Fluxograma do Produto (incluindo PCCs)")</f>
        <v>Fluxograma do Produto (incluindo PCCs)</v>
      </c>
      <c r="G29" s="179"/>
      <c r="H29" s="180"/>
      <c r="I29" s="24"/>
    </row>
    <row r="30" spans="2:9" ht="12.75" customHeight="1" x14ac:dyDescent="0.2">
      <c r="B30" s="35"/>
      <c r="C30" s="47" t="str">
        <f t="shared" si="0"/>
        <v>Obrigatório</v>
      </c>
      <c r="D30" s="201"/>
      <c r="E30" s="201"/>
      <c r="F30" s="178" t="str">
        <f>IF($J$10=TRUE,"GMP (Good Manufacturer Practices) Plan","Plano BPF (Boas Práticas de Fabricação)")</f>
        <v>Plano BPF (Boas Práticas de Fabricação)</v>
      </c>
      <c r="G30" s="179"/>
      <c r="H30" s="180"/>
      <c r="I30" s="24"/>
    </row>
    <row r="31" spans="2:9" ht="12.75" customHeight="1" x14ac:dyDescent="0.2">
      <c r="B31" s="35"/>
      <c r="C31" s="47" t="str">
        <f t="shared" ref="C31:C40" si="1">IF($J$10=TRUE,"Mandatory","Obrigatório")</f>
        <v>Obrigatório</v>
      </c>
      <c r="D31" s="201"/>
      <c r="E31" s="201"/>
      <c r="F31" s="178" t="str">
        <f>IF($J$10=TRUE,"HACCP Plan","Plano APPCC")</f>
        <v>Plano APPCC</v>
      </c>
      <c r="G31" s="179"/>
      <c r="H31" s="180"/>
      <c r="I31" s="24"/>
    </row>
    <row r="32" spans="2:9" ht="12.75" customHeight="1" x14ac:dyDescent="0.2">
      <c r="B32" s="35"/>
      <c r="C32" s="47" t="str">
        <f t="shared" si="1"/>
        <v>Obrigatório</v>
      </c>
      <c r="D32" s="201"/>
      <c r="E32" s="201"/>
      <c r="F32" s="178" t="str">
        <f>IF($J$10=TRUE,"Allergenic Declaration","Declaração de produto livre de alergênicos")</f>
        <v>Declaração de produto livre de alergênicos</v>
      </c>
      <c r="G32" s="179"/>
      <c r="H32" s="180"/>
      <c r="I32" s="24"/>
    </row>
    <row r="33" spans="2:10" ht="12.75" customHeight="1" x14ac:dyDescent="0.2">
      <c r="B33" s="35"/>
      <c r="C33" s="47" t="str">
        <f t="shared" si="1"/>
        <v>Obrigatório</v>
      </c>
      <c r="D33" s="201"/>
      <c r="E33" s="201"/>
      <c r="F33" s="178" t="str">
        <f>IF($J$10=TRUE,"Declaration of absence of products  of animal origin","Declaração de ausência de produtos de origem animal;")</f>
        <v>Declaração de ausência de produtos de origem animal;</v>
      </c>
      <c r="G33" s="179"/>
      <c r="H33" s="180"/>
      <c r="I33" s="24"/>
    </row>
    <row r="34" spans="2:10" ht="12.75" customHeight="1" x14ac:dyDescent="0.2">
      <c r="B34" s="35"/>
      <c r="C34" s="47" t="str">
        <f t="shared" si="1"/>
        <v>Obrigatório</v>
      </c>
      <c r="D34" s="201"/>
      <c r="E34" s="201"/>
      <c r="F34" s="178" t="str">
        <f>IF($J$10=TRUE,"Vegetable Origin - Statement","Declaração de origem vegetal")</f>
        <v>Declaração de origem vegetal</v>
      </c>
      <c r="G34" s="179"/>
      <c r="H34" s="180"/>
      <c r="I34" s="24"/>
    </row>
    <row r="35" spans="2:10" ht="12.75" customHeight="1" x14ac:dyDescent="0.2">
      <c r="B35" s="35"/>
      <c r="C35" s="47" t="str">
        <f t="shared" si="1"/>
        <v>Obrigatório</v>
      </c>
      <c r="D35" s="201"/>
      <c r="E35" s="201"/>
      <c r="F35" s="178" t="str">
        <f>IF($J$10=TRUE,"GMO Absecence/Presence - Statement","Declaração de ausência de GMO;")</f>
        <v>Declaração de ausência de GMO;</v>
      </c>
      <c r="G35" s="179"/>
      <c r="H35" s="180"/>
      <c r="I35" s="24"/>
    </row>
    <row r="36" spans="2:10" ht="12.75" customHeight="1" x14ac:dyDescent="0.2">
      <c r="B36" s="35"/>
      <c r="C36" s="47" t="str">
        <f t="shared" si="1"/>
        <v>Obrigatório</v>
      </c>
      <c r="D36" s="201"/>
      <c r="E36" s="201"/>
      <c r="F36" s="178" t="str">
        <f>IF($J$10=TRUE,"Coccidiostats last report","Declaração de produto livre de coccidiostáticos")</f>
        <v>Declaração de produto livre de coccidiostáticos</v>
      </c>
      <c r="G36" s="179"/>
      <c r="H36" s="180"/>
      <c r="I36" s="24"/>
    </row>
    <row r="37" spans="2:10" x14ac:dyDescent="0.2">
      <c r="B37" s="35"/>
      <c r="C37" s="47" t="str">
        <f t="shared" si="1"/>
        <v>Obrigatório</v>
      </c>
      <c r="D37" s="201"/>
      <c r="E37" s="201"/>
      <c r="F37" s="178" t="str">
        <f>IF($J$10=TRUE,"Ractopamin absence/presence - Statement","Declaração de ausência de ractopamina")</f>
        <v>Declaração de ausência de ractopamina</v>
      </c>
      <c r="G37" s="179"/>
      <c r="H37" s="180"/>
      <c r="I37" s="24"/>
    </row>
    <row r="38" spans="2:10" x14ac:dyDescent="0.2">
      <c r="B38" s="35"/>
      <c r="C38" s="47" t="str">
        <f t="shared" si="1"/>
        <v>Obrigatório</v>
      </c>
      <c r="D38" s="201"/>
      <c r="E38" s="201"/>
      <c r="F38" s="178" t="str">
        <f>IF($J$10=TRUE,"Etoxiquim absecece/presence - Statement","Declaração de Ausência/presença de etoxiquim")</f>
        <v>Declaração de Ausência/presença de etoxiquim</v>
      </c>
      <c r="G38" s="179"/>
      <c r="H38" s="180"/>
      <c r="I38" s="24"/>
    </row>
    <row r="39" spans="2:10" x14ac:dyDescent="0.2">
      <c r="B39" s="35"/>
      <c r="C39" s="47" t="str">
        <f t="shared" si="1"/>
        <v>Obrigatório</v>
      </c>
      <c r="D39" s="201"/>
      <c r="E39" s="201"/>
      <c r="F39" s="178" t="str">
        <f>IF($J$10=TRUE,"Quality plan of the product provided describing the analysis performed, frequency, specifications, methodology used (reference)","Plano da qualidade para o produto acabado fornecido descrevendo as análises realizadas, frequência, especificações, Metodologia (referência)")</f>
        <v>Plano da qualidade para o produto acabado fornecido descrevendo as análises realizadas, frequência, especificações, Metodologia (referência)</v>
      </c>
      <c r="G39" s="179"/>
      <c r="H39" s="180"/>
      <c r="I39" s="24"/>
    </row>
    <row r="40" spans="2:10" ht="25.15" customHeight="1" x14ac:dyDescent="0.2">
      <c r="B40" s="35"/>
      <c r="C40" s="47" t="str">
        <f t="shared" si="1"/>
        <v>Obrigatório</v>
      </c>
      <c r="D40" s="201"/>
      <c r="E40" s="201"/>
      <c r="F40" s="178" t="str">
        <f>IF($J$10=TRUE,"Microbiology last report (mesophilic bacteria, enterobacteriaceae, molds and yeasts, E.coli and Salmonella)","Último laudo de microbiologia (bactérias mesófilas, enterobactérias, bolores e leveduras, E.coli e Salmonella)")</f>
        <v>Último laudo de microbiologia (bactérias mesófilas, enterobactérias, bolores e leveduras, E.coli e Salmonella)</v>
      </c>
      <c r="G40" s="179"/>
      <c r="H40" s="180"/>
      <c r="I40" s="24"/>
    </row>
    <row r="41" spans="2:10" ht="27.6" customHeight="1" x14ac:dyDescent="0.2">
      <c r="B41" s="35"/>
      <c r="C41" s="47" t="str">
        <f>IF($J$10=TRUE,"Mandatory","Obrigatório")</f>
        <v>Obrigatório</v>
      </c>
      <c r="D41" s="201"/>
      <c r="E41" s="201"/>
      <c r="F41" s="178" t="str">
        <f>IF($J$10=TRUE,"Heavy Metals last report (Arsenio, lead, mercury and cadmium)","Último laudo de metais pesados
 (arsênio, chumbo, mercúrio e cádmio)")</f>
        <v>Último laudo de metais pesados
 (arsênio, chumbo, mercúrio e cádmio)</v>
      </c>
      <c r="G41" s="179"/>
      <c r="H41" s="180"/>
      <c r="I41" s="24"/>
    </row>
    <row r="42" spans="2:10" ht="12.75" customHeight="1" x14ac:dyDescent="0.2">
      <c r="B42" s="37"/>
      <c r="C42" s="47" t="str">
        <f>IF($J$10=TRUE,"Mandatory","Obrigatório")</f>
        <v>Obrigatório</v>
      </c>
      <c r="D42" s="201"/>
      <c r="E42" s="201"/>
      <c r="F42" s="178" t="str">
        <f>IF($J$10=TRUE," Dioxins, Furans and PCBs last report","Último laudo de dioxinas, furanos e PCBs")</f>
        <v>Último laudo de dioxinas, furanos e PCBs</v>
      </c>
      <c r="G42" s="179"/>
      <c r="H42" s="180"/>
      <c r="I42" s="38"/>
      <c r="J42" s="32"/>
    </row>
    <row r="43" spans="2:10" x14ac:dyDescent="0.2">
      <c r="B43" s="37"/>
      <c r="C43" s="47" t="str">
        <f>IF($J$10=TRUE,"Mandatory","Obrigatório")</f>
        <v>Obrigatório</v>
      </c>
      <c r="D43" s="201"/>
      <c r="E43" s="201"/>
      <c r="F43" s="178" t="str">
        <f>IF($J$10=TRUE,"Mycotoxins last report (aflatoxins B1, B2 and G1, G2)","Último relatório de micotoxinas (aflatoxinas B1, B2 e G1, G2)")</f>
        <v>Último relatório de micotoxinas (aflatoxinas B1, B2 e G1, G2)</v>
      </c>
      <c r="G43" s="179"/>
      <c r="H43" s="180"/>
      <c r="I43" s="38"/>
      <c r="J43" s="32"/>
    </row>
    <row r="44" spans="2:10" x14ac:dyDescent="0.2">
      <c r="B44" s="36"/>
      <c r="C44" s="47" t="str">
        <f>IF($J$10=TRUE,"Mandatory","Obrigatório")</f>
        <v>Obrigatório</v>
      </c>
      <c r="D44" s="201"/>
      <c r="E44" s="201"/>
      <c r="F44" s="178" t="str">
        <f>IF($J$10=TRUE,"Melamine last report","Último laudo de melamina")</f>
        <v>Último laudo de melamina</v>
      </c>
      <c r="G44" s="179"/>
      <c r="H44" s="180"/>
      <c r="I44" s="24"/>
    </row>
    <row r="45" spans="2:10" ht="27" customHeight="1" x14ac:dyDescent="0.2">
      <c r="B45" s="37"/>
      <c r="C45" s="47" t="str">
        <f>IF($J$10=TRUE,"Mandatory","Obrigatório")</f>
        <v>Obrigatório</v>
      </c>
      <c r="D45" s="201"/>
      <c r="E45" s="201"/>
      <c r="F45" s="178" t="str">
        <f>IF($J$10=TRUE,"Pesticides last report  (organochlorines, organophosphates and carbamates)","Último laudo de pesticidas (organoclorados, organofosforados e carbamatos)")</f>
        <v>Último laudo de pesticidas (organoclorados, organofosforados e carbamatos)</v>
      </c>
      <c r="G45" s="179"/>
      <c r="H45" s="180"/>
      <c r="I45" s="38"/>
      <c r="J45" s="32"/>
    </row>
    <row r="46" spans="2:10" ht="27" customHeight="1" x14ac:dyDescent="0.2">
      <c r="B46" s="36"/>
      <c r="C46" s="46" t="str">
        <f>IF($J$10=TRUE,"Differencial","Diferencial")</f>
        <v>Diferencial</v>
      </c>
      <c r="D46" s="201"/>
      <c r="E46" s="201"/>
      <c r="F46" s="178" t="str">
        <f>IF($J$10=TRUE,"Food Safety Certificates (e.g., GMP+FSA, FSSC 22000, FAMI QS, BRC...)","Certificados de Segurança de Alimentos (por exemplo, GMP+FSA, FSSC 22000, FAMI QS, BRC...)")</f>
        <v>Certificados de Segurança de Alimentos (por exemplo, GMP+FSA, FSSC 22000, FAMI QS, BRC...)</v>
      </c>
      <c r="G46" s="179"/>
      <c r="H46" s="180"/>
      <c r="I46" s="24"/>
    </row>
    <row r="47" spans="2:10" x14ac:dyDescent="0.2">
      <c r="B47" s="39"/>
      <c r="C47" s="30"/>
      <c r="D47" s="71"/>
      <c r="E47" s="71"/>
      <c r="F47" s="71"/>
      <c r="G47" s="71"/>
      <c r="H47" s="30"/>
      <c r="I47" s="31"/>
    </row>
    <row r="49" spans="2:10" x14ac:dyDescent="0.2">
      <c r="G49" s="154"/>
      <c r="H49" s="154"/>
      <c r="I49" s="154"/>
      <c r="J49" s="139"/>
    </row>
    <row r="50" spans="2:10" x14ac:dyDescent="0.2">
      <c r="B50" s="41"/>
      <c r="C50" s="21"/>
      <c r="D50" s="69"/>
      <c r="E50" s="69"/>
      <c r="F50" s="69"/>
      <c r="G50" s="75"/>
      <c r="H50" s="42"/>
      <c r="I50" s="43"/>
    </row>
    <row r="51" spans="2:10" ht="4.5" customHeight="1" x14ac:dyDescent="0.2">
      <c r="B51" s="36"/>
      <c r="I51" s="24"/>
    </row>
    <row r="52" spans="2:10" ht="4.5" customHeight="1" x14ac:dyDescent="0.2">
      <c r="B52" s="36"/>
      <c r="I52" s="24"/>
    </row>
    <row r="53" spans="2:10" ht="15.75" x14ac:dyDescent="0.2">
      <c r="B53" s="167" t="str">
        <f>IF($J$10=TRUE,"Product Information","Informação do Produto ")</f>
        <v xml:space="preserve">Informação do Produto </v>
      </c>
      <c r="C53" s="168"/>
      <c r="D53" s="168"/>
      <c r="E53" s="168"/>
      <c r="F53" s="168"/>
      <c r="G53" s="168"/>
      <c r="H53" s="168"/>
      <c r="I53" s="169"/>
    </row>
    <row r="54" spans="2:10" x14ac:dyDescent="0.2">
      <c r="B54" s="108" t="str">
        <f>IF($J$10=TRUE,"Composition:","Composição:")</f>
        <v>Composição:</v>
      </c>
      <c r="C54" s="182"/>
      <c r="D54" s="182"/>
      <c r="E54" s="182"/>
      <c r="F54" s="182"/>
      <c r="G54" s="182"/>
      <c r="H54" s="182"/>
      <c r="I54" s="182"/>
    </row>
    <row r="55" spans="2:10" x14ac:dyDescent="0.2">
      <c r="B55" s="108" t="str">
        <f>IF($J$10=TRUE,"Origin:","Origem:")</f>
        <v>Origem:</v>
      </c>
      <c r="C55" s="182"/>
      <c r="D55" s="182"/>
      <c r="E55" s="182"/>
      <c r="F55" s="182"/>
      <c r="G55" s="182"/>
      <c r="H55" s="182"/>
      <c r="I55" s="182"/>
    </row>
    <row r="56" spans="2:10" ht="38.25" x14ac:dyDescent="0.2">
      <c r="B56" s="109" t="str">
        <f>IF($J$10=TRUE,"Shelf Life and Storage Conditions:","Prazo de validade e condições de armazenamento:")</f>
        <v>Prazo de validade e condições de armazenamento:</v>
      </c>
      <c r="C56" s="182"/>
      <c r="D56" s="182"/>
      <c r="E56" s="182"/>
      <c r="F56" s="182"/>
      <c r="G56" s="182"/>
      <c r="H56" s="182"/>
      <c r="I56" s="182"/>
    </row>
    <row r="57" spans="2:10" x14ac:dyDescent="0.2">
      <c r="B57" s="108" t="str">
        <f>IF($J$10=TRUE,"Requisitos regulamentares:","")</f>
        <v/>
      </c>
      <c r="C57" s="186"/>
      <c r="D57" s="186"/>
      <c r="E57" s="186"/>
      <c r="F57" s="186"/>
      <c r="G57" s="186"/>
      <c r="H57" s="186"/>
      <c r="I57" s="186"/>
    </row>
    <row r="58" spans="2:10" x14ac:dyDescent="0.2">
      <c r="B58" s="183" t="str">
        <f>IF($J$10=TRUE,"Read each statement and mark with an X in the column according to the company's service in the item.","Por favor, leia cada enunciado e assinale com um X na coluna correspondente ao atendimento da empresa para o respectivo item.")</f>
        <v>Por favor, leia cada enunciado e assinale com um X na coluna correspondente ao atendimento da empresa para o respectivo item.</v>
      </c>
      <c r="C58" s="184"/>
      <c r="D58" s="184"/>
      <c r="E58" s="184"/>
      <c r="F58" s="184"/>
      <c r="G58" s="184"/>
      <c r="H58" s="184"/>
      <c r="I58" s="185"/>
    </row>
    <row r="59" spans="2:10" ht="15.75" x14ac:dyDescent="0.2">
      <c r="B59" s="167" t="str">
        <f>IF($J$10=TRUE,"Organizational Data","Dados Organizacionais")</f>
        <v>Dados Organizacionais</v>
      </c>
      <c r="C59" s="168"/>
      <c r="D59" s="168"/>
      <c r="E59" s="168"/>
      <c r="F59" s="168"/>
      <c r="G59" s="168"/>
      <c r="H59" s="168"/>
      <c r="I59" s="169"/>
    </row>
    <row r="60" spans="2:10" ht="36.75" customHeight="1" x14ac:dyDescent="0.2">
      <c r="B60" s="170" t="str">
        <f>IF($J$10=TRUE,"Items (Answer the question with an X. If the answer is NA, please justify the answer at the Observation field.","Itens (Selecione a resposta com X) / Se NA, justificar em Observações")</f>
        <v>Itens (Selecione a resposta com X) / Se NA, justificar em Observações</v>
      </c>
      <c r="C60" s="171"/>
      <c r="D60" s="114" t="str">
        <f>IF($J$10=TRUE,"Yes","Sim")</f>
        <v>Sim</v>
      </c>
      <c r="E60" s="114" t="str">
        <f>IF($J$10=TRUE,"No","Não")</f>
        <v>Não</v>
      </c>
      <c r="F60" s="114" t="str">
        <f>IF($J$10=TRUE,"In progress","Em andamento")</f>
        <v>Em andamento</v>
      </c>
      <c r="G60" s="113" t="str">
        <f>IF($J$10=TRUE,"NA (not applicable)","NA")</f>
        <v>NA</v>
      </c>
      <c r="H60" s="172" t="str">
        <f>IF($J$10=TRUE,"Observation","Observações")</f>
        <v>Observações</v>
      </c>
      <c r="I60" s="173"/>
    </row>
    <row r="61" spans="2:10" ht="33" customHeight="1" x14ac:dyDescent="0.2">
      <c r="B61" s="60">
        <v>1</v>
      </c>
      <c r="C61" s="107" t="str">
        <f>IF($J$10=TRUE,"Does the company have a contract with its employees?","A empresa possui contrato com seus funcionários?")</f>
        <v>A empresa possui contrato com seus funcionários?</v>
      </c>
      <c r="D61" s="127"/>
      <c r="E61" s="127"/>
      <c r="F61" s="127"/>
      <c r="G61" s="127"/>
      <c r="H61" s="166"/>
      <c r="I61" s="166"/>
    </row>
    <row r="62" spans="2:10" ht="25.5" x14ac:dyDescent="0.2">
      <c r="B62" s="60">
        <v>2</v>
      </c>
      <c r="C62" s="107" t="str">
        <f>IF($J$10=TRUE,"Is the working hours according to the current legislation of your country?","O horário de trabalho está de acordo com a legislação?")</f>
        <v>O horário de trabalho está de acordo com a legislação?</v>
      </c>
      <c r="D62" s="127"/>
      <c r="E62" s="127"/>
      <c r="F62" s="127"/>
      <c r="G62" s="127"/>
      <c r="H62" s="166"/>
      <c r="I62" s="166"/>
    </row>
    <row r="63" spans="2:10" ht="38.25" x14ac:dyDescent="0.2">
      <c r="B63" s="60">
        <v>3</v>
      </c>
      <c r="C63" s="107" t="str">
        <f>IF($J$10=TRUE,"Does the company collect charges and taxes defined in the legislation ?","A empresa recolhe encargos e impostos definidos na legislação?")</f>
        <v>A empresa recolhe encargos e impostos definidos na legislação?</v>
      </c>
      <c r="D63" s="127"/>
      <c r="E63" s="127"/>
      <c r="F63" s="127"/>
      <c r="G63" s="127"/>
      <c r="H63" s="166"/>
      <c r="I63" s="166"/>
    </row>
    <row r="64" spans="2:10" ht="51" x14ac:dyDescent="0.2">
      <c r="B64" s="60">
        <v>4</v>
      </c>
      <c r="C64" s="107" t="str">
        <f>IF($J$10=TRUE,"Does the company use any electronic managerial/administrative tool? Which?","A empresa utiliza alguma ferramenta gerencial/administrativa eletrônica? Qual?")</f>
        <v>A empresa utiliza alguma ferramenta gerencial/administrativa eletrônica? Qual?</v>
      </c>
      <c r="D64" s="127"/>
      <c r="E64" s="127"/>
      <c r="F64" s="127"/>
      <c r="G64" s="127"/>
      <c r="H64" s="166"/>
      <c r="I64" s="166"/>
    </row>
    <row r="65" spans="2:9" ht="15.75" x14ac:dyDescent="0.2">
      <c r="B65" s="167" t="str">
        <f>IF($J$10=TRUE,"Training Information","Informações de Treinamento")</f>
        <v>Informações de Treinamento</v>
      </c>
      <c r="C65" s="168"/>
      <c r="D65" s="168"/>
      <c r="E65" s="168"/>
      <c r="F65" s="168"/>
      <c r="G65" s="168"/>
      <c r="H65" s="168"/>
      <c r="I65" s="169"/>
    </row>
    <row r="66" spans="2:9" ht="37.5" customHeight="1" x14ac:dyDescent="0.2">
      <c r="B66" s="170" t="str">
        <f>IF($J$10=TRUE,"Items (Answer the question with an X. If the answer is NA, please justify the answer at the Observation field.","Itens (Selecione a resposta com X) / Se NA, justificar em Observações")</f>
        <v>Itens (Selecione a resposta com X) / Se NA, justificar em Observações</v>
      </c>
      <c r="C66" s="171"/>
      <c r="D66" s="114" t="str">
        <f>IF($J$10=TRUE,"Yes","Sim")</f>
        <v>Sim</v>
      </c>
      <c r="E66" s="114" t="str">
        <f>IF($J$10=TRUE,"No","Não")</f>
        <v>Não</v>
      </c>
      <c r="F66" s="114" t="str">
        <f>IF($J$10=TRUE,"In progress","Em andamento")</f>
        <v>Em andamento</v>
      </c>
      <c r="G66" s="113" t="str">
        <f>IF($J$10=TRUE,"NA (not applicable)","NA")</f>
        <v>NA</v>
      </c>
      <c r="H66" s="172" t="str">
        <f>IF($J$10=TRUE,"Observation","Observações")</f>
        <v>Observações</v>
      </c>
      <c r="I66" s="173"/>
    </row>
    <row r="67" spans="2:9" ht="25.5" x14ac:dyDescent="0.2">
      <c r="B67" s="60">
        <v>5</v>
      </c>
      <c r="C67" s="107" t="str">
        <f>IF($J$10=TRUE,"Are there written training programs?","Existem programas de treinamento escritos?")</f>
        <v>Existem programas de treinamento escritos?</v>
      </c>
      <c r="D67" s="127"/>
      <c r="E67" s="127"/>
      <c r="F67" s="127"/>
      <c r="G67" s="127"/>
      <c r="H67" s="166"/>
      <c r="I67" s="166"/>
    </row>
    <row r="68" spans="2:9" x14ac:dyDescent="0.2">
      <c r="B68" s="60">
        <v>6</v>
      </c>
      <c r="C68" s="107" t="str">
        <f>IF($J$10=TRUE,"Are the employes qualified?","Os funcionários são qualificados?")</f>
        <v>Os funcionários são qualificados?</v>
      </c>
      <c r="D68" s="127"/>
      <c r="E68" s="127"/>
      <c r="F68" s="127"/>
      <c r="G68" s="127"/>
      <c r="H68" s="166"/>
      <c r="I68" s="166"/>
    </row>
    <row r="69" spans="2:9" ht="38.25" x14ac:dyDescent="0.2">
      <c r="B69" s="60">
        <v>7</v>
      </c>
      <c r="C69" s="107" t="str">
        <f>IF($J$10=TRUE,"Are there training records kept in controlled files?","Há registros de treinamento mantidos em arquivos controlados?")</f>
        <v>Há registros de treinamento mantidos em arquivos controlados?</v>
      </c>
      <c r="D69" s="127"/>
      <c r="E69" s="127"/>
      <c r="F69" s="127"/>
      <c r="G69" s="127"/>
      <c r="H69" s="166"/>
      <c r="I69" s="166"/>
    </row>
    <row r="70" spans="2:9" ht="15.75" x14ac:dyDescent="0.2">
      <c r="B70" s="167" t="str">
        <f>IF($J$10=TRUE,"Safety, Ocupational Health and Environment","Segurança, Saúde Ocupacional e Meio Ambiente")</f>
        <v>Segurança, Saúde Ocupacional e Meio Ambiente</v>
      </c>
      <c r="C70" s="168"/>
      <c r="D70" s="168"/>
      <c r="E70" s="168"/>
      <c r="F70" s="168"/>
      <c r="G70" s="168"/>
      <c r="H70" s="168"/>
      <c r="I70" s="169"/>
    </row>
    <row r="71" spans="2:9" ht="39.75" customHeight="1" x14ac:dyDescent="0.2">
      <c r="B71" s="170" t="str">
        <f>IF($J$10=TRUE,"Items (Answer the question with an X. If the answer is NA, please justify the answer at the Observation field.","Itens (Selecione a resposta com X) / Se NA, justificar em Observações")</f>
        <v>Itens (Selecione a resposta com X) / Se NA, justificar em Observações</v>
      </c>
      <c r="C71" s="171"/>
      <c r="D71" s="114" t="str">
        <f>IF($J$10=TRUE,"Yes","Sim")</f>
        <v>Sim</v>
      </c>
      <c r="E71" s="114" t="str">
        <f>IF($J$10=TRUE,"No","Não")</f>
        <v>Não</v>
      </c>
      <c r="F71" s="114" t="str">
        <f>IF($J$10=TRUE,"In progress","Em andamento")</f>
        <v>Em andamento</v>
      </c>
      <c r="G71" s="113" t="str">
        <f>IF($J$10=TRUE,"NA (not applicable)","NA")</f>
        <v>NA</v>
      </c>
      <c r="H71" s="172" t="str">
        <f>IF($J$10=TRUE,"Observation","Observações")</f>
        <v>Observações</v>
      </c>
      <c r="I71" s="173"/>
    </row>
    <row r="72" spans="2:9" ht="25.5" x14ac:dyDescent="0.2">
      <c r="B72" s="60">
        <v>8</v>
      </c>
      <c r="C72" s="107" t="str">
        <f>IF($J$10=TRUE,"Are there written security procedures?","Existem procedimentos de segurança escritos?")</f>
        <v>Existem procedimentos de segurança escritos?</v>
      </c>
      <c r="D72" s="127"/>
      <c r="E72" s="127"/>
      <c r="F72" s="127"/>
      <c r="G72" s="127"/>
      <c r="H72" s="166"/>
      <c r="I72" s="166"/>
    </row>
    <row r="73" spans="2:9" ht="38.25" customHeight="1" x14ac:dyDescent="0.2">
      <c r="B73" s="60">
        <v>9</v>
      </c>
      <c r="C73" s="107" t="str">
        <f>IF($J$10=TRUE,"Are there written procedures for recording and investigating accidents?","Existem procedimentos escritos para registrar e investigar acidentes?")</f>
        <v>Existem procedimentos escritos para registrar e investigar acidentes?</v>
      </c>
      <c r="D73" s="127"/>
      <c r="E73" s="127"/>
      <c r="F73" s="127"/>
      <c r="G73" s="127"/>
      <c r="H73" s="166"/>
      <c r="I73" s="166"/>
    </row>
    <row r="74" spans="2:9" ht="38.25" x14ac:dyDescent="0.2">
      <c r="B74" s="60">
        <v>10</v>
      </c>
      <c r="C74" s="107" t="str">
        <f>IF($J$10=TRUE,"Are work safety training carried out for emplyees?","São realizados treinamentos de segurança do trabalho para os funcionários?")</f>
        <v>São realizados treinamentos de segurança do trabalho para os funcionários?</v>
      </c>
      <c r="D74" s="127"/>
      <c r="E74" s="127"/>
      <c r="F74" s="127"/>
      <c r="G74" s="127"/>
      <c r="H74" s="166"/>
      <c r="I74" s="166"/>
    </row>
    <row r="75" spans="2:9" ht="38.25" x14ac:dyDescent="0.2">
      <c r="B75" s="60">
        <v>11</v>
      </c>
      <c r="C75" s="107" t="str">
        <f>IF($J$10=TRUE,"Is the Environmental Risk Prevention Program (ERPP) implemented?","O Programa de Prevenção de Riscos Ambientais (PPRA) está implementado?")</f>
        <v>O Programa de Prevenção de Riscos Ambientais (PPRA) está implementado?</v>
      </c>
      <c r="D75" s="127"/>
      <c r="E75" s="127"/>
      <c r="F75" s="127"/>
      <c r="G75" s="127"/>
      <c r="H75" s="166"/>
      <c r="I75" s="166"/>
    </row>
    <row r="76" spans="2:9" ht="25.5" x14ac:dyDescent="0.2">
      <c r="B76" s="60">
        <v>12</v>
      </c>
      <c r="C76" s="107" t="str">
        <f>IF($J$10=TRUE,"Does the company have a waste management program?","A empresa possui um programa de gerenciamento de resíduos?")</f>
        <v>A empresa possui um programa de gerenciamento de resíduos?</v>
      </c>
      <c r="D76" s="127"/>
      <c r="E76" s="127"/>
      <c r="F76" s="127"/>
      <c r="G76" s="127"/>
      <c r="H76" s="166"/>
      <c r="I76" s="166"/>
    </row>
    <row r="77" spans="2:9" ht="38.25" x14ac:dyDescent="0.2">
      <c r="B77" s="60">
        <v>13</v>
      </c>
      <c r="C77" s="107" t="str">
        <f>IF($J$10=TRUE,"Is the implemented Program for Medical Control and Occupational Health –  PCMSO?","O Programa de Controle Médico e Saúde Ocupacional – PCMSO está implantado?")</f>
        <v>O Programa de Controle Médico e Saúde Ocupacional – PCMSO está implantado?</v>
      </c>
      <c r="D77" s="127"/>
      <c r="E77" s="127"/>
      <c r="F77" s="127"/>
      <c r="G77" s="127"/>
      <c r="H77" s="166"/>
      <c r="I77" s="166"/>
    </row>
    <row r="78" spans="2:9" ht="38.25" x14ac:dyDescent="0.2">
      <c r="B78" s="60">
        <v>14</v>
      </c>
      <c r="C78" s="107" t="str">
        <f>IF($J$10=TRUE,"Do you comply with current legislation on occupational health and safety?","Você cumpre a legislação vigente sobre saúde e segurança ocupacional?")</f>
        <v>Você cumpre a legislação vigente sobre saúde e segurança ocupacional?</v>
      </c>
      <c r="D78" s="127"/>
      <c r="E78" s="127"/>
      <c r="F78" s="127"/>
      <c r="G78" s="127"/>
      <c r="H78" s="166"/>
      <c r="I78" s="166"/>
    </row>
    <row r="79" spans="2:9" ht="25.5" x14ac:dyDescent="0.2">
      <c r="B79" s="60">
        <v>15</v>
      </c>
      <c r="C79" s="107" t="str">
        <f>IF($J$10=TRUE,"Do you have an environment license? Please send a copy","Você possui licença ambiental? Por favor envie uma cópia")</f>
        <v>Você possui licença ambiental? Por favor envie uma cópia</v>
      </c>
      <c r="D79" s="127"/>
      <c r="E79" s="127"/>
      <c r="F79" s="127"/>
      <c r="G79" s="127"/>
      <c r="H79" s="166"/>
      <c r="I79" s="166"/>
    </row>
    <row r="80" spans="2:9" ht="15.75" x14ac:dyDescent="0.2">
      <c r="B80" s="167" t="str">
        <f>IF($J$10=TRUE,"Manufacturer Information / Process Information","Informações do fabricante/Informações do Processo")</f>
        <v>Informações do fabricante/Informações do Processo</v>
      </c>
      <c r="C80" s="168"/>
      <c r="D80" s="168"/>
      <c r="E80" s="168"/>
      <c r="F80" s="168"/>
      <c r="G80" s="168"/>
      <c r="H80" s="168"/>
      <c r="I80" s="169"/>
    </row>
    <row r="81" spans="2:9" ht="38.25" customHeight="1" x14ac:dyDescent="0.2">
      <c r="B81" s="170" t="str">
        <f>IF($J$10=TRUE,"Items (Answer the question with an X. If the answer is NA, please justify the answer at the Observation field.","Itens (Selecione a resposta com X) / Se NA, justificar em Observações")</f>
        <v>Itens (Selecione a resposta com X) / Se NA, justificar em Observações</v>
      </c>
      <c r="C81" s="171"/>
      <c r="D81" s="114" t="str">
        <f>IF($J$10=TRUE,"Yes","Sim")</f>
        <v>Sim</v>
      </c>
      <c r="E81" s="114" t="str">
        <f>IF($J$10=TRUE,"No","Não")</f>
        <v>Não</v>
      </c>
      <c r="F81" s="114" t="str">
        <f>IF($J$10=TRUE,"In progress","Em andamento")</f>
        <v>Em andamento</v>
      </c>
      <c r="G81" s="113" t="str">
        <f>IF($J$10=TRUE,"NA (not applicable)","NA")</f>
        <v>NA</v>
      </c>
      <c r="H81" s="172" t="str">
        <f>IF($J$10=TRUE,"Observation","Observações")</f>
        <v>Observações</v>
      </c>
      <c r="I81" s="173"/>
    </row>
    <row r="82" spans="2:9" ht="84" customHeight="1" x14ac:dyDescent="0.2">
      <c r="B82" s="60">
        <v>16</v>
      </c>
      <c r="C82" s="107" t="str">
        <f>IF($J$10=TRUE,"Does the company have a quality system and / or food safety management system, properly implemented and disseminated to all employees?","A empresa dispõe de um sistema de qualidade e/ou sistema de gestão de segurança alimentar, devidamente implementado e divulgado a todos os colaboradores?")</f>
        <v>A empresa dispõe de um sistema de qualidade e/ou sistema de gestão de segurança alimentar, devidamente implementado e divulgado a todos os colaboradores?</v>
      </c>
      <c r="D82" s="127"/>
      <c r="E82" s="127"/>
      <c r="F82" s="127"/>
      <c r="G82" s="127"/>
      <c r="H82" s="166"/>
      <c r="I82" s="166"/>
    </row>
    <row r="83" spans="2:9" ht="25.5" x14ac:dyDescent="0.2">
      <c r="B83" s="60">
        <v>17</v>
      </c>
      <c r="C83" s="107" t="str">
        <f>IF($J$10=TRUE,"Is a drying system used? What are?","É utilizado sistema de secagem? Qual?")</f>
        <v>É utilizado sistema de secagem? Qual?</v>
      </c>
      <c r="D83" s="127"/>
      <c r="E83" s="127"/>
      <c r="F83" s="127"/>
      <c r="G83" s="127"/>
      <c r="H83" s="166"/>
      <c r="I83" s="166"/>
    </row>
    <row r="84" spans="2:9" ht="73.5" customHeight="1" x14ac:dyDescent="0.2">
      <c r="B84" s="60">
        <v>18</v>
      </c>
      <c r="C84" s="107" t="str">
        <f>IF($J$10=TRUE," Is the quality management system and / or food safety management system submitted at regular intervals to internal and external audits? What is the frequency?","O sistema de gestão da qualidade e/ou sistema de gestão da segurança alimentar é submetido regularmente a auditorias internas e externas? Qual é a frequência?")</f>
        <v>O sistema de gestão da qualidade e/ou sistema de gestão da segurança alimentar é submetido regularmente a auditorias internas e externas? Qual é a frequência?</v>
      </c>
      <c r="D84" s="127"/>
      <c r="E84" s="127"/>
      <c r="F84" s="127"/>
      <c r="G84" s="127"/>
      <c r="H84" s="166"/>
      <c r="I84" s="166"/>
    </row>
    <row r="85" spans="2:9" ht="43.5" customHeight="1" x14ac:dyDescent="0.2">
      <c r="B85" s="60">
        <v>19</v>
      </c>
      <c r="C85" s="107" t="str">
        <f>IF($J$10=TRUE,"Is quality control done internally? If external what is the certification of the performer?","O controle de qualidade é feito internamente? Se externo, qual é a empresa? É certificada?")</f>
        <v>O controle de qualidade é feito internamente? Se externo, qual é a empresa? É certificada?</v>
      </c>
      <c r="D85" s="127"/>
      <c r="E85" s="127"/>
      <c r="F85" s="127"/>
      <c r="G85" s="127"/>
      <c r="H85" s="166"/>
      <c r="I85" s="166"/>
    </row>
    <row r="86" spans="2:9" ht="42.75" customHeight="1" x14ac:dyDescent="0.2">
      <c r="B86" s="60">
        <v>20</v>
      </c>
      <c r="C86" s="107" t="str">
        <f>IF($J$10=TRUE,"Does the company have Good Manufacturing Practices and/or  5S implanted?","A empresa possui Boas Práticas de Fabricação e/ou 5S implantados?")</f>
        <v>A empresa possui Boas Práticas de Fabricação e/ou 5S implantados?</v>
      </c>
      <c r="D86" s="127"/>
      <c r="E86" s="127"/>
      <c r="F86" s="127"/>
      <c r="G86" s="127"/>
      <c r="H86" s="166"/>
      <c r="I86" s="166"/>
    </row>
    <row r="87" spans="2:9" ht="25.5" x14ac:dyDescent="0.2">
      <c r="B87" s="60">
        <v>21</v>
      </c>
      <c r="C87" s="107" t="str">
        <f>IF($J$10=TRUE,"Are there procedures for the processes?","Existem procedimentos para os processos?")</f>
        <v>Existem procedimentos para os processos?</v>
      </c>
      <c r="D87" s="127"/>
      <c r="E87" s="127"/>
      <c r="F87" s="127"/>
      <c r="G87" s="127"/>
      <c r="H87" s="166"/>
      <c r="I87" s="166"/>
    </row>
    <row r="88" spans="2:9" ht="50.25" customHeight="1" x14ac:dyDescent="0.2">
      <c r="B88" s="60">
        <v>22</v>
      </c>
      <c r="C88" s="107" t="str">
        <f>IF($J$10=TRUE,"Are there procedures for receiving and inspecting raw materials?","Existem procedimentos para recebimento e inspeção de matérias-primas?")</f>
        <v>Existem procedimentos para recebimento e inspeção de matérias-primas?</v>
      </c>
      <c r="D88" s="127"/>
      <c r="E88" s="127"/>
      <c r="F88" s="127"/>
      <c r="G88" s="127"/>
      <c r="H88" s="166"/>
      <c r="I88" s="166"/>
    </row>
    <row r="89" spans="2:9" ht="25.5" x14ac:dyDescent="0.2">
      <c r="B89" s="60">
        <v>23</v>
      </c>
      <c r="C89" s="107" t="str">
        <f>IF($J$10=TRUE,"Are there procedures for handling nonconformities?","Existem procedimentos para lidar com não conformidades?")</f>
        <v>Existem procedimentos para lidar com não conformidades?</v>
      </c>
      <c r="D89" s="127"/>
      <c r="E89" s="127"/>
      <c r="F89" s="127"/>
      <c r="G89" s="127"/>
      <c r="H89" s="166"/>
      <c r="I89" s="166"/>
    </row>
    <row r="90" spans="2:9" ht="45.75" customHeight="1" x14ac:dyDescent="0.2">
      <c r="B90" s="60">
        <v>24</v>
      </c>
      <c r="C90" s="107" t="str">
        <f>IF($J$10=TRUE,"Is there a procedure for stocking the raw material and the final product?","Existe procedimento para estocagem da matéria-prima e do produto final?")</f>
        <v>Existe procedimento para estocagem da matéria-prima e do produto final?</v>
      </c>
      <c r="D90" s="127"/>
      <c r="E90" s="127"/>
      <c r="F90" s="127"/>
      <c r="G90" s="127"/>
      <c r="H90" s="166"/>
      <c r="I90" s="166"/>
    </row>
    <row r="91" spans="2:9" ht="40.5" customHeight="1" x14ac:dyDescent="0.2">
      <c r="B91" s="60">
        <v>25</v>
      </c>
      <c r="C91" s="107" t="str">
        <f>IF($J$10=TRUE,"Are raw materials and final products released according to specifications?","As matérias-primas e os produtos finais são liberados de acordo com as especificações?")</f>
        <v>As matérias-primas e os produtos finais são liberados de acordo com as especificações?</v>
      </c>
      <c r="D91" s="127"/>
      <c r="E91" s="127"/>
      <c r="F91" s="127"/>
      <c r="G91" s="127"/>
      <c r="H91" s="166"/>
      <c r="I91" s="166"/>
    </row>
    <row r="92" spans="2:9" ht="42" customHeight="1" x14ac:dyDescent="0.2">
      <c r="B92" s="60">
        <v>26</v>
      </c>
      <c r="C92" s="107" t="str">
        <f>IF($J$10=TRUE,"Is there technical assistance defined under formal procedures for your clients?","Existe assistência técnica definida em procedimentos formais para seus clientes?")</f>
        <v>Existe assistência técnica definida em procedimentos formais para seus clientes?</v>
      </c>
      <c r="D92" s="127"/>
      <c r="E92" s="127"/>
      <c r="F92" s="127"/>
      <c r="G92" s="127"/>
      <c r="H92" s="166"/>
      <c r="I92" s="166"/>
    </row>
    <row r="93" spans="2:9" ht="42" customHeight="1" x14ac:dyDescent="0.2">
      <c r="B93" s="60">
        <v>27</v>
      </c>
      <c r="C93" s="107" t="str">
        <f>IF($J$10=TRUE,"Are there procedures for traceability of raw materials and finished products?","Existem procedimentos de rastreabilidade de matérias-primas e produtos acabados?")</f>
        <v>Existem procedimentos de rastreabilidade de matérias-primas e produtos acabados?</v>
      </c>
      <c r="D93" s="127"/>
      <c r="E93" s="127"/>
      <c r="F93" s="127"/>
      <c r="G93" s="127"/>
      <c r="H93" s="166"/>
      <c r="I93" s="166"/>
    </row>
    <row r="94" spans="2:9" ht="57" customHeight="1" x14ac:dyDescent="0.2">
      <c r="B94" s="60">
        <v>28</v>
      </c>
      <c r="C94" s="107" t="str">
        <f>IF($J$10=TRUE,"Is there a raw material collection plan and analyze of raw material and final product documented?","Existe um plano de coleta de matéria-prima e análise documentada da matéria-prima e do produto final?")</f>
        <v>Existe um plano de coleta de matéria-prima e análise documentada da matéria-prima e do produto final?</v>
      </c>
      <c r="D94" s="127"/>
      <c r="E94" s="127"/>
      <c r="F94" s="127"/>
      <c r="G94" s="127"/>
      <c r="H94" s="166"/>
      <c r="I94" s="166"/>
    </row>
    <row r="95" spans="2:9" ht="64.5" customHeight="1" x14ac:dyDescent="0.2">
      <c r="B95" s="60">
        <v>29</v>
      </c>
      <c r="C95" s="107" t="str">
        <f>IF($J$10=TRUE,"Does the company adopt a sample collection procedure for the finished product? What is the retention time?","A empresa adota procedimento de coleta de amostras do produto acabado? Qual é o tempo de retenção?")</f>
        <v>A empresa adota procedimento de coleta de amostras do produto acabado? Qual é o tempo de retenção?</v>
      </c>
      <c r="D95" s="127"/>
      <c r="E95" s="127"/>
      <c r="F95" s="127"/>
      <c r="G95" s="127"/>
      <c r="H95" s="166"/>
      <c r="I95" s="166"/>
    </row>
    <row r="96" spans="2:9" ht="62.25" customHeight="1" x14ac:dyDescent="0.2">
      <c r="B96" s="60">
        <v>30</v>
      </c>
      <c r="C96" s="107" t="str">
        <f>IF($J$10=TRUE,"Does the company have a policy of breaking glass and hard plastic implemented? Indicate monitoring frequency.","A empresa possui uma política de quebra de vidros e plásticos rígidos implementada? Indique a frequência de monitoramento.")</f>
        <v>A empresa possui uma política de quebra de vidros e plásticos rígidos implementada? Indique a frequência de monitoramento.</v>
      </c>
      <c r="D96" s="127"/>
      <c r="E96" s="127"/>
      <c r="F96" s="127"/>
      <c r="G96" s="127"/>
      <c r="H96" s="166"/>
      <c r="I96" s="166"/>
    </row>
    <row r="97" spans="2:9" ht="57" customHeight="1" x14ac:dyDescent="0.2">
      <c r="B97" s="60">
        <v>31</v>
      </c>
      <c r="C97" s="107" t="str">
        <f>IF($J$10=TRUE,"Does the company use any ingredient of animal origin, such as antifoams, dispersants, amino acids, etc.?","A empresa utiliza algum ingrediente de origem animal, como antiespumantes, dispersantes, aminoácidos, etc.?")</f>
        <v>A empresa utiliza algum ingrediente de origem animal, como antiespumantes, dispersantes, aminoácidos, etc.?</v>
      </c>
      <c r="D97" s="127"/>
      <c r="E97" s="127"/>
      <c r="F97" s="127"/>
      <c r="G97" s="127"/>
      <c r="H97" s="166"/>
      <c r="I97" s="166"/>
    </row>
    <row r="98" spans="2:9" ht="52.5" customHeight="1" x14ac:dyDescent="0.2">
      <c r="B98" s="60">
        <v>32</v>
      </c>
      <c r="C98" s="107" t="str">
        <f>IF($J$10=TRUE,"Does the company have procedures and integrated pest control system implemented? Indicate the monitoring frequency.","A empresa possui procedimentos e sistema integrado de controle de pragas implementados? Indique a frequência de monitoramento.")</f>
        <v>A empresa possui procedimentos e sistema integrado de controle de pragas implementados? Indique a frequência de monitoramento.</v>
      </c>
      <c r="D98" s="127"/>
      <c r="E98" s="127"/>
      <c r="F98" s="127"/>
      <c r="G98" s="127"/>
      <c r="H98" s="166"/>
      <c r="I98" s="166"/>
    </row>
    <row r="99" spans="2:9" ht="25.5" x14ac:dyDescent="0.2">
      <c r="B99" s="60">
        <v>33</v>
      </c>
      <c r="C99" s="107" t="str">
        <f>IF($J$10=TRUE,"Is there procedure to avoid cross-contamination?","Existe procedimento para evitar contaminação cruzada?")</f>
        <v>Existe procedimento para evitar contaminação cruzada?</v>
      </c>
      <c r="D99" s="127"/>
      <c r="E99" s="127"/>
      <c r="F99" s="127"/>
      <c r="G99" s="127"/>
      <c r="H99" s="166"/>
      <c r="I99" s="166"/>
    </row>
    <row r="100" spans="2:9" ht="54.75" customHeight="1" x14ac:dyDescent="0.2">
      <c r="B100" s="60">
        <v>34</v>
      </c>
      <c r="C100" s="107" t="str">
        <f>IF($J$10=TRUE,"Are there adequate storage locations for raw materials and finished products?","Existem locais de armazenamento adequados para matérias-primas e produtos acabados?")</f>
        <v>Existem locais de armazenamento adequados para matérias-primas e produtos acabados?</v>
      </c>
      <c r="D100" s="127"/>
      <c r="E100" s="127"/>
      <c r="F100" s="127"/>
      <c r="G100" s="127"/>
      <c r="H100" s="166"/>
      <c r="I100" s="166"/>
    </row>
    <row r="101" spans="2:9" ht="45" customHeight="1" x14ac:dyDescent="0.2">
      <c r="B101" s="60">
        <v>35</v>
      </c>
      <c r="C101" s="107" t="str">
        <f>IF($J$10=TRUE,"Are there written procedures for the storage of final products?","Existem procedimentos escritos para o armazenamento dos produtos finais?")</f>
        <v>Existem procedimentos escritos para o armazenamento dos produtos finais?</v>
      </c>
      <c r="D101" s="127"/>
      <c r="E101" s="127"/>
      <c r="F101" s="127"/>
      <c r="G101" s="127"/>
      <c r="H101" s="166"/>
      <c r="I101" s="166"/>
    </row>
    <row r="102" spans="2:9" ht="32.25" customHeight="1" x14ac:dyDescent="0.2">
      <c r="B102" s="60">
        <v>36</v>
      </c>
      <c r="C102" s="107" t="str">
        <f>IF($J$10=TRUE,"Are there written procedures for inspection of final products?","Existem procedimentos escritos para inspeção de produtos finais?")</f>
        <v>Existem procedimentos escritos para inspeção de produtos finais?</v>
      </c>
      <c r="D102" s="127"/>
      <c r="E102" s="127"/>
      <c r="F102" s="127"/>
      <c r="G102" s="127"/>
      <c r="H102" s="166"/>
      <c r="I102" s="166"/>
    </row>
    <row r="103" spans="2:9" ht="51" customHeight="1" x14ac:dyDescent="0.2">
      <c r="B103" s="60">
        <v>37</v>
      </c>
      <c r="C103" s="107" t="str">
        <f>IF($J$10=TRUE,"Is there a systematic and a control of product withdrawal (FIFO - First In, First out)?","Existe uma sistemática e controle de retirada de produtos (FIFO – First In, First out)?")</f>
        <v>Existe uma sistemática e controle de retirada de produtos (FIFO – First In, First out)?</v>
      </c>
      <c r="D103" s="127"/>
      <c r="E103" s="127"/>
      <c r="F103" s="127"/>
      <c r="G103" s="127"/>
      <c r="H103" s="166"/>
      <c r="I103" s="166"/>
    </row>
    <row r="104" spans="2:9" ht="72" customHeight="1" x14ac:dyDescent="0.2">
      <c r="B104" s="60">
        <v>38</v>
      </c>
      <c r="C104" s="107" t="str">
        <f>IF($J$10=TRUE,"Are stored products identified according to batch number or some other criterion? Inform the model used.","Os produtos armazenados são identificados de acordo com o número do lote ou algum outro critério? Informe o modelo utilizado.")</f>
        <v>Os produtos armazenados são identificados de acordo com o número do lote ou algum outro critério? Informe o modelo utilizado.</v>
      </c>
      <c r="D104" s="127"/>
      <c r="E104" s="127"/>
      <c r="F104" s="127"/>
      <c r="G104" s="127"/>
      <c r="H104" s="166"/>
      <c r="I104" s="166"/>
    </row>
    <row r="105" spans="2:9" ht="60" customHeight="1" x14ac:dyDescent="0.2">
      <c r="B105" s="60">
        <v>39</v>
      </c>
      <c r="C105" s="107" t="str">
        <f>IF($J$10=TRUE,"Is there a secure system for controlling the shipment of products that have been released by quality warranty?","Existe um sistema seguro para controle do envio de produtos liberados pela garantia de qualidade?")</f>
        <v>Existe um sistema seguro para controle do envio de produtos liberados pela garantia de qualidade?</v>
      </c>
      <c r="D105" s="127"/>
      <c r="E105" s="127"/>
      <c r="F105" s="127"/>
      <c r="G105" s="127"/>
      <c r="H105" s="166"/>
      <c r="I105" s="166"/>
    </row>
    <row r="106" spans="2:9" ht="72.75" customHeight="1" x14ac:dyDescent="0.2">
      <c r="B106" s="60">
        <v>40</v>
      </c>
      <c r="C106" s="107" t="str">
        <f>IF($J$10=TRUE,"Are materials that require specific storage conditions stored properly? Are these conditions monitored?","Os materiais que requerem condições específicas de armazenamento são armazenados adequadamente? Essas condições são monitoradas?")</f>
        <v>Os materiais que requerem condições específicas de armazenamento são armazenados adequadamente? Essas condições são monitoradas?</v>
      </c>
      <c r="D106" s="127"/>
      <c r="E106" s="127"/>
      <c r="F106" s="127"/>
      <c r="G106" s="127"/>
      <c r="H106" s="166"/>
      <c r="I106" s="166"/>
    </row>
    <row r="107" spans="2:9" ht="39.75" customHeight="1" x14ac:dyDescent="0.2">
      <c r="B107" s="60">
        <v>41</v>
      </c>
      <c r="C107" s="107" t="str">
        <f>IF($J$10=TRUE," Is the efficiency of the Recall system regularly checked? What is the frequency?","A eficiência do sistema Recall é verificada regularmente? Qual é a frequência?")</f>
        <v>A eficiência do sistema Recall é verificada regularmente? Qual é a frequência?</v>
      </c>
      <c r="D107" s="127"/>
      <c r="E107" s="127"/>
      <c r="F107" s="127"/>
      <c r="G107" s="127"/>
      <c r="H107" s="166"/>
      <c r="I107" s="166"/>
    </row>
    <row r="108" spans="2:9" ht="57.75" customHeight="1" x14ac:dyDescent="0.2">
      <c r="B108" s="60">
        <v>42</v>
      </c>
      <c r="C108" s="107" t="str">
        <f>IF($J$10=TRUE,"Are there products from different sources stored in the same place, or is the warehouse unique to the same product type?","Existem produtos de diferentes origens armazenados no mesmo local ou o armazém é exclusivo para o mesmo tipo de produto?")</f>
        <v>Existem produtos de diferentes origens armazenados no mesmo local ou o armazém é exclusivo para o mesmo tipo de produto?</v>
      </c>
      <c r="D108" s="127"/>
      <c r="E108" s="127"/>
      <c r="F108" s="127"/>
      <c r="G108" s="127"/>
      <c r="H108" s="166"/>
      <c r="I108" s="166"/>
    </row>
    <row r="109" spans="2:9" ht="15.75" x14ac:dyDescent="0.2">
      <c r="B109" s="167" t="str">
        <f>IF($J$10=TRUE,"Manufacturer Information / Process Information","Informações do fabricante/Informações do Processo")</f>
        <v>Informações do fabricante/Informações do Processo</v>
      </c>
      <c r="C109" s="168"/>
      <c r="D109" s="168"/>
      <c r="E109" s="168"/>
      <c r="F109" s="168"/>
      <c r="G109" s="168"/>
      <c r="H109" s="168"/>
      <c r="I109" s="169"/>
    </row>
    <row r="110" spans="2:9" ht="41.25" customHeight="1" x14ac:dyDescent="0.2">
      <c r="B110" s="170" t="str">
        <f>IF($J$10=TRUE,"Items (Answer the question with an X. If the answer is NA, please justify the answer at the Observation field.","Itens (Selecione a resposta com X) / Se NA, justificar em Observações")</f>
        <v>Itens (Selecione a resposta com X) / Se NA, justificar em Observações</v>
      </c>
      <c r="C110" s="171"/>
      <c r="D110" s="114" t="str">
        <f>IF($J$10=TRUE,"Yes","Sim")</f>
        <v>Sim</v>
      </c>
      <c r="E110" s="114" t="str">
        <f>IF($J$10=TRUE,"No","Não")</f>
        <v>Não</v>
      </c>
      <c r="F110" s="114" t="str">
        <f>IF($J$10=TRUE,"In progress","Em andamento")</f>
        <v>Em andamento</v>
      </c>
      <c r="G110" s="113" t="str">
        <f>IF($J$10=TRUE,"NA (not applicable)","NA")</f>
        <v>NA</v>
      </c>
      <c r="H110" s="172" t="str">
        <f>IF($J$10=TRUE,"Observation","Observações")</f>
        <v>Observações</v>
      </c>
      <c r="I110" s="173"/>
    </row>
    <row r="111" spans="2:9" ht="66" customHeight="1" x14ac:dyDescent="0.2">
      <c r="B111" s="60">
        <v>43</v>
      </c>
      <c r="C111" s="107" t="str">
        <f>IF($J$10=TRUE,"Are there control for microbiological/biological contaminants contaminants? Cite which contaminants are contolled and the frequency  of monitoring","Há controle de contaminantes microbiológicos/biológicos? Citar quais contaminantes são controlados e a frequência do monitoramento.")</f>
        <v>Há controle de contaminantes microbiológicos/biológicos? Citar quais contaminantes são controlados e a frequência do monitoramento.</v>
      </c>
      <c r="D111" s="127"/>
      <c r="E111" s="127"/>
      <c r="F111" s="127"/>
      <c r="G111" s="127"/>
      <c r="H111" s="166"/>
      <c r="I111" s="166"/>
    </row>
    <row r="112" spans="2:9" ht="68.25" customHeight="1" x14ac:dyDescent="0.2">
      <c r="B112" s="60">
        <v>44</v>
      </c>
      <c r="C112" s="107" t="str">
        <f>IF($J$10=TRUE,"Are there control for quimical contaminants? Cite which contaminants are contolled and the frequency  of monitoring","Existe controle para contaminantes químicos? Cite quais contaminantes são controlados e a frequência de monitoramento")</f>
        <v>Existe controle para contaminantes químicos? Cite quais contaminantes são controlados e a frequência de monitoramento</v>
      </c>
      <c r="D112" s="127"/>
      <c r="E112" s="127"/>
      <c r="F112" s="127"/>
      <c r="G112" s="127"/>
      <c r="H112" s="166"/>
      <c r="I112" s="166"/>
    </row>
    <row r="113" spans="2:9" ht="80.25" customHeight="1" x14ac:dyDescent="0.2">
      <c r="B113" s="60">
        <v>45</v>
      </c>
      <c r="C113" s="107" t="str">
        <f>IF($J$10=TRUE,"Are there control for physical contaminants? Are there procedures to prevent the occurence of foreing body ? Cite which controlls and the frequency of monitoring.","Existe controle para contaminantes físicos? Existem procedimentos para prevenir a ocorrência de corpo estranho? Cite quais controles e a frequência do monitoramento.")</f>
        <v>Existe controle para contaminantes físicos? Existem procedimentos para prevenir a ocorrência de corpo estranho? Cite quais controles e a frequência do monitoramento.</v>
      </c>
      <c r="D113" s="127"/>
      <c r="E113" s="127"/>
      <c r="F113" s="127"/>
      <c r="G113" s="127"/>
      <c r="H113" s="166"/>
      <c r="I113" s="166"/>
    </row>
    <row r="114" spans="2:9" ht="60" customHeight="1" x14ac:dyDescent="0.2">
      <c r="B114" s="60">
        <v>46</v>
      </c>
      <c r="C114" s="107" t="str">
        <f>IF($J$10=TRUE,"Are there residual antibiotic or antimicrobial controls? If they are used in the company, indicate what they are.","Existem controles residuais de antibióticos ou antimicrobianos? Se forem utilizados na empresa, indique quais são.")</f>
        <v>Existem controles residuais de antibióticos ou antimicrobianos? Se forem utilizados na empresa, indique quais são.</v>
      </c>
      <c r="D114" s="127"/>
      <c r="E114" s="127"/>
      <c r="F114" s="127"/>
      <c r="G114" s="127"/>
      <c r="H114" s="166"/>
      <c r="I114" s="166"/>
    </row>
    <row r="115" spans="2:9" ht="51" x14ac:dyDescent="0.2">
      <c r="B115" s="60">
        <v>47</v>
      </c>
      <c r="C115" s="107" t="str">
        <f>IF($J$10=TRUE,"Are used lubricants of food grade in installations in contact with the product?","São utilizados lubrificantes de qualidade alimentar nas instalações em contato com o produto?")</f>
        <v>São utilizados lubrificantes de qualidade alimentar nas instalações em contato com o produto?</v>
      </c>
      <c r="D115" s="127"/>
      <c r="E115" s="127"/>
      <c r="F115" s="127"/>
      <c r="G115" s="127"/>
      <c r="H115" s="166"/>
      <c r="I115" s="166"/>
    </row>
    <row r="116" spans="2:9" ht="63.75" x14ac:dyDescent="0.2">
      <c r="B116" s="60">
        <v>48</v>
      </c>
      <c r="C116" s="107" t="str">
        <f>IF($J$10=TRUE,"During production, ingredients are added to prevent agglomeration (Anti-Caking / Anticaking). If yes, indicate what they are.","Durante a produção são adicionados ingredientes para evitar aglomeração (Antiaglomerante/Antiaglomerante). Se sim, indique quais são.")</f>
        <v>Durante a produção são adicionados ingredientes para evitar aglomeração (Antiaglomerante/Antiaglomerante). Se sim, indique quais são.</v>
      </c>
      <c r="D116" s="127"/>
      <c r="E116" s="127"/>
      <c r="F116" s="127"/>
      <c r="G116" s="127"/>
      <c r="H116" s="166"/>
      <c r="I116" s="166"/>
    </row>
    <row r="118" spans="2:9" ht="28.5" customHeight="1" x14ac:dyDescent="0.2">
      <c r="B118" s="177" t="str">
        <f>IF($J$10=TRUE,"I declare that all information is true and that any changes in the manufacturing process, specification, or any other changes that impact the quality and/or traceability of the product supplied will be duly communicated to ICC Brazil.","Declaro que todas as informações são verídicas e que qualquer alteração no processo de fabricação, especificação, ou quaisquer outras mudanças que impactem na qualidade e/ou rastreabilidade do produto fornecido serão devidamente comunicados a ICC Brazil.")</f>
        <v>Declaro que todas as informações são verídicas e que qualquer alteração no processo de fabricação, especificação, ou quaisquer outras mudanças que impactem na qualidade e/ou rastreabilidade do produto fornecido serão devidamente comunicados a ICC Brazil.</v>
      </c>
      <c r="C118" s="177"/>
      <c r="D118" s="177"/>
      <c r="E118" s="177"/>
      <c r="F118" s="177"/>
      <c r="G118" s="177"/>
      <c r="H118" s="177"/>
      <c r="I118" s="177"/>
    </row>
    <row r="119" spans="2:9" x14ac:dyDescent="0.2">
      <c r="C119" s="48"/>
    </row>
    <row r="120" spans="2:9" ht="26.25" customHeight="1" x14ac:dyDescent="0.2">
      <c r="C120" s="65" t="str">
        <f>IF($J$10=TRUE,"Responsible for completing:","Responsável pelo preenchimento:")</f>
        <v>Responsável pelo preenchimento:</v>
      </c>
      <c r="D120" s="166"/>
      <c r="E120" s="166"/>
      <c r="F120" s="166"/>
      <c r="G120" s="166"/>
      <c r="H120" s="166"/>
    </row>
    <row r="121" spans="2:9" x14ac:dyDescent="0.2">
      <c r="C121" s="65" t="str">
        <f>IF($J$10=TRUE,"Job Title:","Cargo:")</f>
        <v>Cargo:</v>
      </c>
      <c r="D121" s="166"/>
      <c r="E121" s="166"/>
      <c r="F121" s="166"/>
      <c r="G121" s="166"/>
      <c r="H121" s="166"/>
    </row>
    <row r="122" spans="2:9" x14ac:dyDescent="0.2">
      <c r="C122" s="65" t="str">
        <f>IF($J$10=TRUE,"Date:","Data:")</f>
        <v>Data:</v>
      </c>
      <c r="D122" s="166"/>
      <c r="E122" s="166"/>
      <c r="F122" s="166"/>
      <c r="G122" s="166"/>
      <c r="H122" s="166"/>
    </row>
    <row r="123" spans="2:9" x14ac:dyDescent="0.2">
      <c r="C123" s="48"/>
    </row>
    <row r="124" spans="2:9" x14ac:dyDescent="0.2">
      <c r="C124" s="48"/>
    </row>
    <row r="125" spans="2:9" x14ac:dyDescent="0.2">
      <c r="C125" s="48"/>
    </row>
    <row r="126" spans="2:9" x14ac:dyDescent="0.2">
      <c r="C126" s="181"/>
      <c r="D126" s="181"/>
      <c r="E126" s="181"/>
      <c r="F126" s="181"/>
      <c r="G126" s="181"/>
      <c r="H126" s="181"/>
    </row>
    <row r="127" spans="2:9" x14ac:dyDescent="0.2">
      <c r="C127" s="175" t="str">
        <f>IF($J$10=TRUE,"Signature","Assinatura")</f>
        <v>Assinatura</v>
      </c>
      <c r="D127" s="176"/>
      <c r="E127" s="176"/>
      <c r="F127" s="176"/>
      <c r="G127" s="176"/>
      <c r="H127" s="176"/>
    </row>
  </sheetData>
  <sheetProtection algorithmName="SHA-512" hashValue="63XVDJI9SFOhDq1Fbin94JIwvbU4nBGcceVzrfr336HvSI2CciTkhCjYhXPrixHTirv+hKQSEESzqFnwzrCKqg==" saltValue="9Jifs37EuSqnijHidjEgDA==" spinCount="100000" sheet="1"/>
  <mergeCells count="138">
    <mergeCell ref="C23:H23"/>
    <mergeCell ref="D39:E39"/>
    <mergeCell ref="D40:E40"/>
    <mergeCell ref="D41:E41"/>
    <mergeCell ref="D42:E42"/>
    <mergeCell ref="D43:E43"/>
    <mergeCell ref="D34:E34"/>
    <mergeCell ref="D35:E35"/>
    <mergeCell ref="D36:E36"/>
    <mergeCell ref="D37:E37"/>
    <mergeCell ref="D38:E38"/>
    <mergeCell ref="D24:E24"/>
    <mergeCell ref="D25:E25"/>
    <mergeCell ref="D26:E26"/>
    <mergeCell ref="F43:H43"/>
    <mergeCell ref="F44:H44"/>
    <mergeCell ref="F45:H45"/>
    <mergeCell ref="F40:H40"/>
    <mergeCell ref="F41:H41"/>
    <mergeCell ref="F42:H42"/>
    <mergeCell ref="D44:E44"/>
    <mergeCell ref="F27:H27"/>
    <mergeCell ref="F28:H28"/>
    <mergeCell ref="F34:H34"/>
    <mergeCell ref="D27:E27"/>
    <mergeCell ref="D28:E28"/>
    <mergeCell ref="D29:E29"/>
    <mergeCell ref="D30:E30"/>
    <mergeCell ref="D31:E31"/>
    <mergeCell ref="D32:E32"/>
    <mergeCell ref="D33:E33"/>
    <mergeCell ref="J1:J2"/>
    <mergeCell ref="J3:J4"/>
    <mergeCell ref="B15:C15"/>
    <mergeCell ref="B16:C16"/>
    <mergeCell ref="C1:I4"/>
    <mergeCell ref="A1:B4"/>
    <mergeCell ref="D46:E46"/>
    <mergeCell ref="E6:F6"/>
    <mergeCell ref="B5:H5"/>
    <mergeCell ref="C13:H13"/>
    <mergeCell ref="C14:H14"/>
    <mergeCell ref="D16:H16"/>
    <mergeCell ref="C11:H11"/>
    <mergeCell ref="C12:H12"/>
    <mergeCell ref="F29:H29"/>
    <mergeCell ref="F37:H37"/>
    <mergeCell ref="F38:H38"/>
    <mergeCell ref="F39:H39"/>
    <mergeCell ref="D45:E45"/>
    <mergeCell ref="F30:H30"/>
    <mergeCell ref="F31:H31"/>
    <mergeCell ref="F32:H32"/>
    <mergeCell ref="F33:H33"/>
    <mergeCell ref="F46:H46"/>
    <mergeCell ref="D15:H15"/>
    <mergeCell ref="C127:H127"/>
    <mergeCell ref="H61:I61"/>
    <mergeCell ref="D120:H120"/>
    <mergeCell ref="D121:H121"/>
    <mergeCell ref="D122:H122"/>
    <mergeCell ref="H67:I67"/>
    <mergeCell ref="B118:I118"/>
    <mergeCell ref="H68:I68"/>
    <mergeCell ref="H69:I69"/>
    <mergeCell ref="F36:H36"/>
    <mergeCell ref="C126:H126"/>
    <mergeCell ref="H60:I60"/>
    <mergeCell ref="C56:I56"/>
    <mergeCell ref="G49:J49"/>
    <mergeCell ref="B58:I58"/>
    <mergeCell ref="C54:I54"/>
    <mergeCell ref="B53:I53"/>
    <mergeCell ref="C55:I55"/>
    <mergeCell ref="C57:I57"/>
    <mergeCell ref="F35:H35"/>
    <mergeCell ref="F24:H24"/>
    <mergeCell ref="F25:H25"/>
    <mergeCell ref="F26:H26"/>
    <mergeCell ref="B70:I70"/>
    <mergeCell ref="B59:I59"/>
    <mergeCell ref="B65:I65"/>
    <mergeCell ref="B66:C66"/>
    <mergeCell ref="H66:I66"/>
    <mergeCell ref="H64:I64"/>
    <mergeCell ref="B60:C60"/>
    <mergeCell ref="H62:I62"/>
    <mergeCell ref="H63:I63"/>
    <mergeCell ref="H76:I76"/>
    <mergeCell ref="H77:I77"/>
    <mergeCell ref="H78:I78"/>
    <mergeCell ref="H79:I79"/>
    <mergeCell ref="H85:I85"/>
    <mergeCell ref="H86:I86"/>
    <mergeCell ref="B71:C71"/>
    <mergeCell ref="H71:I71"/>
    <mergeCell ref="H72:I72"/>
    <mergeCell ref="H73:I73"/>
    <mergeCell ref="H74:I74"/>
    <mergeCell ref="H75:I75"/>
    <mergeCell ref="H112:I112"/>
    <mergeCell ref="H95:I95"/>
    <mergeCell ref="H96:I96"/>
    <mergeCell ref="H97:I97"/>
    <mergeCell ref="H98:I98"/>
    <mergeCell ref="H87:I87"/>
    <mergeCell ref="H88:I88"/>
    <mergeCell ref="H89:I89"/>
    <mergeCell ref="B80:I80"/>
    <mergeCell ref="B81:C81"/>
    <mergeCell ref="H81:I81"/>
    <mergeCell ref="H82:I82"/>
    <mergeCell ref="H83:I83"/>
    <mergeCell ref="H84:I84"/>
    <mergeCell ref="B17:C17"/>
    <mergeCell ref="H113:I113"/>
    <mergeCell ref="H114:I114"/>
    <mergeCell ref="H115:I115"/>
    <mergeCell ref="H116:I116"/>
    <mergeCell ref="H107:I107"/>
    <mergeCell ref="H108:I108"/>
    <mergeCell ref="B109:I109"/>
    <mergeCell ref="B110:C110"/>
    <mergeCell ref="H99:I99"/>
    <mergeCell ref="H100:I100"/>
    <mergeCell ref="H110:I110"/>
    <mergeCell ref="H111:I111"/>
    <mergeCell ref="H101:I101"/>
    <mergeCell ref="H102:I102"/>
    <mergeCell ref="H103:I103"/>
    <mergeCell ref="H104:I104"/>
    <mergeCell ref="H105:I105"/>
    <mergeCell ref="H106:I106"/>
    <mergeCell ref="H90:I90"/>
    <mergeCell ref="H91:I91"/>
    <mergeCell ref="H92:I92"/>
    <mergeCell ref="H93:I93"/>
    <mergeCell ref="H94:I94"/>
  </mergeCells>
  <dataValidations count="2">
    <dataValidation type="list" allowBlank="1" showInputMessage="1" showErrorMessage="1" sqref="D61:G64 D67:G69 D72:G79 D82:G108 D111:G116">
      <formula1>"X"</formula1>
    </dataValidation>
    <dataValidation type="list" allowBlank="1" showInputMessage="1" showErrorMessage="1" sqref="D25:E46">
      <formula1>"SIM/YES,NÃO/NO"</formula1>
    </dataValidation>
  </dataValidations>
  <pageMargins left="0.511811024" right="0.511811024" top="0.78740157499999996" bottom="0.78740157499999996" header="0.31496062000000002" footer="0.31496062000000002"/>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2967" r:id="rId4" name="Check Box 1223">
              <controlPr locked="0" defaultSize="0" autoFill="0" autoLine="0" autoPict="0">
                <anchor moveWithCells="1">
                  <from>
                    <xdr:col>3</xdr:col>
                    <xdr:colOff>285750</xdr:colOff>
                    <xdr:row>4</xdr:row>
                    <xdr:rowOff>371475</xdr:rowOff>
                  </from>
                  <to>
                    <xdr:col>5</xdr:col>
                    <xdr:colOff>476250</xdr:colOff>
                    <xdr:row>7</xdr:row>
                    <xdr:rowOff>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5"/>
  <dimension ref="A1:L147"/>
  <sheetViews>
    <sheetView showGridLines="0" workbookViewId="0">
      <selection activeCell="J5" sqref="J5"/>
    </sheetView>
  </sheetViews>
  <sheetFormatPr defaultColWidth="0" defaultRowHeight="12.75" x14ac:dyDescent="0.2"/>
  <cols>
    <col min="1" max="1" width="4.5703125" customWidth="1"/>
    <col min="2" max="2" width="18.7109375" customWidth="1"/>
    <col min="3" max="3" width="33.85546875" style="82" customWidth="1"/>
    <col min="4" max="5" width="7.7109375" style="67" customWidth="1"/>
    <col min="6" max="6" width="20.7109375" style="67" customWidth="1"/>
    <col min="7" max="7" width="7.7109375" style="67" customWidth="1"/>
    <col min="8" max="8" width="20.7109375" customWidth="1"/>
    <col min="9" max="9" width="18.7109375" customWidth="1"/>
    <col min="10" max="10" width="16.140625" customWidth="1"/>
  </cols>
  <sheetData>
    <row r="1" spans="1:10" ht="12.75" customHeight="1" x14ac:dyDescent="0.2">
      <c r="A1" s="195"/>
      <c r="B1" s="196"/>
      <c r="C1" s="193" t="s">
        <v>76</v>
      </c>
      <c r="D1" s="159"/>
      <c r="E1" s="159"/>
      <c r="F1" s="159"/>
      <c r="G1" s="159"/>
      <c r="H1" s="159"/>
      <c r="I1" s="160"/>
      <c r="J1" s="147" t="s">
        <v>42</v>
      </c>
    </row>
    <row r="2" spans="1:10" ht="12.75" customHeight="1" x14ac:dyDescent="0.2">
      <c r="A2" s="197"/>
      <c r="B2" s="198"/>
      <c r="C2" s="193"/>
      <c r="D2" s="159"/>
      <c r="E2" s="159"/>
      <c r="F2" s="159"/>
      <c r="G2" s="159"/>
      <c r="H2" s="159"/>
      <c r="I2" s="160"/>
      <c r="J2" s="148"/>
    </row>
    <row r="3" spans="1:10" ht="12.75" customHeight="1" x14ac:dyDescent="0.2">
      <c r="A3" s="197"/>
      <c r="B3" s="198"/>
      <c r="C3" s="193"/>
      <c r="D3" s="159"/>
      <c r="E3" s="159"/>
      <c r="F3" s="159"/>
      <c r="G3" s="159"/>
      <c r="H3" s="159"/>
      <c r="I3" s="160"/>
      <c r="J3" s="148" t="s">
        <v>80</v>
      </c>
    </row>
    <row r="4" spans="1:10" ht="13.5" customHeight="1" thickBot="1" x14ac:dyDescent="0.25">
      <c r="A4" s="199"/>
      <c r="B4" s="200"/>
      <c r="C4" s="194"/>
      <c r="D4" s="161"/>
      <c r="E4" s="161"/>
      <c r="F4" s="161"/>
      <c r="G4" s="161"/>
      <c r="H4" s="161"/>
      <c r="I4" s="162"/>
      <c r="J4" s="149"/>
    </row>
    <row r="5" spans="1:10" ht="27" customHeight="1" x14ac:dyDescent="0.2">
      <c r="B5" s="203" t="s">
        <v>43</v>
      </c>
      <c r="C5" s="203"/>
      <c r="D5" s="203"/>
      <c r="E5" s="203"/>
      <c r="F5" s="203"/>
      <c r="G5" s="203"/>
      <c r="H5" s="203"/>
    </row>
    <row r="6" spans="1:10" x14ac:dyDescent="0.2">
      <c r="B6" s="10"/>
      <c r="C6" s="111"/>
      <c r="D6" s="10"/>
      <c r="E6" s="214"/>
      <c r="F6" s="214"/>
      <c r="G6"/>
    </row>
    <row r="7" spans="1:10" x14ac:dyDescent="0.2">
      <c r="B7" s="10"/>
      <c r="C7" s="77"/>
      <c r="D7" s="66"/>
      <c r="E7" s="66"/>
      <c r="F7" s="66"/>
    </row>
    <row r="8" spans="1:10" x14ac:dyDescent="0.2">
      <c r="B8" s="10"/>
      <c r="C8" s="77"/>
      <c r="D8" s="66"/>
      <c r="E8" s="66"/>
      <c r="F8" s="66"/>
    </row>
    <row r="9" spans="1:10" ht="11.25" customHeight="1" x14ac:dyDescent="0.2">
      <c r="B9" s="19"/>
      <c r="C9" s="78"/>
      <c r="D9" s="68"/>
      <c r="E9" s="68"/>
      <c r="F9" s="68"/>
      <c r="G9" s="69"/>
      <c r="H9" s="21"/>
      <c r="I9" s="22"/>
    </row>
    <row r="10" spans="1:10" x14ac:dyDescent="0.2">
      <c r="B10" s="23"/>
      <c r="C10" s="77"/>
      <c r="D10" s="66"/>
      <c r="E10" s="66"/>
      <c r="F10" s="66"/>
      <c r="I10" s="24"/>
      <c r="J10" s="128" t="b">
        <v>1</v>
      </c>
    </row>
    <row r="11" spans="1:10" ht="18" customHeight="1" x14ac:dyDescent="0.25">
      <c r="B11" s="25" t="str">
        <f>IF($J$10=TRUE,"Corporate Name:","Razão Social:")</f>
        <v>Corporate Name:</v>
      </c>
      <c r="C11" s="204"/>
      <c r="D11" s="204"/>
      <c r="E11" s="204"/>
      <c r="F11" s="204"/>
      <c r="G11" s="204"/>
      <c r="H11" s="204"/>
      <c r="I11" s="26"/>
    </row>
    <row r="12" spans="1:10" ht="18" customHeight="1" x14ac:dyDescent="0.25">
      <c r="B12" s="25" t="str">
        <f>IF($J$10=TRUE,"Fantasy Name:","Nome Fantasia:")</f>
        <v>Fantasy Name:</v>
      </c>
      <c r="C12" s="204"/>
      <c r="D12" s="204"/>
      <c r="E12" s="204"/>
      <c r="F12" s="204"/>
      <c r="G12" s="204"/>
      <c r="H12" s="204"/>
      <c r="I12" s="24"/>
    </row>
    <row r="13" spans="1:10" ht="18" customHeight="1" x14ac:dyDescent="0.25">
      <c r="B13" s="25" t="str">
        <f>IF($J$10=TRUE,"TIN:","CNPJ:")</f>
        <v>TIN:</v>
      </c>
      <c r="C13" s="204"/>
      <c r="D13" s="204"/>
      <c r="E13" s="204"/>
      <c r="F13" s="204"/>
      <c r="G13" s="204"/>
      <c r="H13" s="204"/>
      <c r="I13" s="26"/>
    </row>
    <row r="14" spans="1:10" ht="18" customHeight="1" x14ac:dyDescent="0.25">
      <c r="B14" s="25" t="str">
        <f>IF($J$10=TRUE,"Adress:","Endereço:")</f>
        <v>Adress:</v>
      </c>
      <c r="C14" s="204"/>
      <c r="D14" s="204"/>
      <c r="E14" s="204"/>
      <c r="F14" s="204"/>
      <c r="G14" s="204"/>
      <c r="H14" s="204"/>
      <c r="I14" s="26"/>
    </row>
    <row r="15" spans="1:10" ht="18" customHeight="1" x14ac:dyDescent="0.2">
      <c r="B15" s="164" t="str">
        <f>IF($J$10=TRUE,"Product supplied to ICC Brazil:","Produto (s) fornecido (s) para a ICC:")</f>
        <v>Product supplied to ICC Brazil:</v>
      </c>
      <c r="C15" s="165"/>
      <c r="D15" s="174"/>
      <c r="E15" s="174"/>
      <c r="F15" s="174"/>
      <c r="G15" s="174"/>
      <c r="H15" s="174"/>
      <c r="I15" s="24"/>
    </row>
    <row r="16" spans="1:10" ht="18" customHeight="1" x14ac:dyDescent="0.2">
      <c r="B16" s="164" t="str">
        <f>IF($J$10=TRUE,"Yeast species and strain","Código da CEPA:")</f>
        <v>Yeast species and strain</v>
      </c>
      <c r="C16" s="165"/>
      <c r="D16" s="174"/>
      <c r="E16" s="174"/>
      <c r="F16" s="174"/>
      <c r="G16" s="174"/>
      <c r="H16" s="174"/>
      <c r="I16" s="24"/>
    </row>
    <row r="17" spans="2:10" ht="18" customHeight="1" x14ac:dyDescent="0.2">
      <c r="B17" s="164" t="str">
        <f>IF($J$10=TRUE,"CEO:","Responsável Técnico:")</f>
        <v>CEO:</v>
      </c>
      <c r="C17" s="165"/>
      <c r="D17" s="174"/>
      <c r="E17" s="174"/>
      <c r="F17" s="174"/>
      <c r="G17" s="174"/>
      <c r="H17" s="174"/>
      <c r="I17" s="24"/>
    </row>
    <row r="18" spans="2:10" x14ac:dyDescent="0.2">
      <c r="B18" s="28"/>
      <c r="C18" s="79"/>
      <c r="D18" s="70"/>
      <c r="E18" s="70"/>
      <c r="F18" s="70"/>
      <c r="G18" s="71"/>
      <c r="H18" s="30"/>
      <c r="I18" s="31"/>
    </row>
    <row r="19" spans="2:10" x14ac:dyDescent="0.2">
      <c r="B19" s="16"/>
      <c r="C19" s="80"/>
      <c r="D19" s="72"/>
      <c r="E19" s="72"/>
      <c r="F19" s="72"/>
    </row>
    <row r="20" spans="2:10" x14ac:dyDescent="0.2">
      <c r="B20" s="16"/>
      <c r="C20" s="80"/>
      <c r="D20" s="72"/>
      <c r="E20" s="72"/>
      <c r="F20" s="72"/>
    </row>
    <row r="21" spans="2:10" x14ac:dyDescent="0.2">
      <c r="B21" s="33"/>
      <c r="C21" s="81"/>
      <c r="D21" s="73"/>
      <c r="E21" s="73"/>
      <c r="F21" s="73"/>
      <c r="G21" s="69"/>
      <c r="H21" s="21"/>
      <c r="I21" s="22"/>
    </row>
    <row r="22" spans="2:10" x14ac:dyDescent="0.2">
      <c r="B22" s="35"/>
      <c r="C22" s="205" t="str">
        <f>IF($J$10=TRUE,"Please select the submitted documents below","Selecione abaixo os documentos enviados.")</f>
        <v>Please select the submitted documents below</v>
      </c>
      <c r="D22" s="205"/>
      <c r="E22" s="205"/>
      <c r="F22" s="205"/>
      <c r="G22" s="205"/>
      <c r="H22" s="205"/>
      <c r="I22" s="24"/>
    </row>
    <row r="23" spans="2:10" x14ac:dyDescent="0.2">
      <c r="B23" s="35"/>
      <c r="C23" s="44" t="str">
        <f>IF($J$10=TRUE,"REQUIREMENT","REQUISITO")</f>
        <v>REQUIREMENT</v>
      </c>
      <c r="D23" s="206" t="str">
        <f>IF($J$10=TRUE,"SENT","ENVIADO")</f>
        <v>SENT</v>
      </c>
      <c r="E23" s="206"/>
      <c r="F23" s="187" t="str">
        <f>IF($J$10=TRUE,"DOCUMENTS","DOCUMENTOS")</f>
        <v>DOCUMENTS</v>
      </c>
      <c r="G23" s="188"/>
      <c r="H23" s="189"/>
      <c r="I23" s="24"/>
    </row>
    <row r="24" spans="2:10" ht="12.75" customHeight="1" x14ac:dyDescent="0.2">
      <c r="B24" s="35"/>
      <c r="C24" s="47" t="str">
        <f t="shared" ref="C24:C40" si="0">IF($J$10=TRUE,"Mandatory","Obrigatório")</f>
        <v>Mandatory</v>
      </c>
      <c r="D24" s="201"/>
      <c r="E24" s="201"/>
      <c r="F24" s="208" t="str">
        <f>IF($J$10=TRUE,"Product registration with the Responsible Organ of the country of origin","Registro do produto junto ao órgão responsável")</f>
        <v>Product registration with the Responsible Organ of the country of origin</v>
      </c>
      <c r="G24" s="209"/>
      <c r="H24" s="210"/>
      <c r="I24" s="24"/>
    </row>
    <row r="25" spans="2:10" ht="24.75" customHeight="1" x14ac:dyDescent="0.2">
      <c r="B25" s="35"/>
      <c r="C25" s="47" t="str">
        <f t="shared" si="0"/>
        <v>Mandatory</v>
      </c>
      <c r="D25" s="201"/>
      <c r="E25" s="201"/>
      <c r="F25" s="208" t="str">
        <f>IF($J$10=TRUE,"Proof of company registration with regulatory agencies","Comprovante de registro da empresa junto aos órgãos reguladores")</f>
        <v>Proof of company registration with regulatory agencies</v>
      </c>
      <c r="G25" s="209"/>
      <c r="H25" s="210"/>
      <c r="I25" s="24"/>
    </row>
    <row r="26" spans="2:10" ht="19.5" customHeight="1" x14ac:dyDescent="0.2">
      <c r="B26" s="36"/>
      <c r="C26" s="47" t="str">
        <f t="shared" si="0"/>
        <v>Mandatory</v>
      </c>
      <c r="D26" s="201"/>
      <c r="E26" s="201"/>
      <c r="F26" s="208" t="str">
        <f>IF($J$10=TRUE,"Technical Specification Sheet (TS)","Ficha de Especificações Técnicas")</f>
        <v>Technical Specification Sheet (TS)</v>
      </c>
      <c r="G26" s="209"/>
      <c r="H26" s="210"/>
      <c r="I26" s="24"/>
    </row>
    <row r="27" spans="2:10" ht="15" customHeight="1" x14ac:dyDescent="0.2">
      <c r="B27" s="37"/>
      <c r="C27" s="47" t="str">
        <f t="shared" si="0"/>
        <v>Mandatory</v>
      </c>
      <c r="D27" s="201"/>
      <c r="E27" s="201"/>
      <c r="F27" s="208" t="str">
        <f>IF($J$10=TRUE,"Material Safety Data Sheet (MSDS)","FISPQ")</f>
        <v>Material Safety Data Sheet (MSDS)</v>
      </c>
      <c r="G27" s="209"/>
      <c r="H27" s="210"/>
      <c r="I27" s="38"/>
      <c r="J27" s="32"/>
    </row>
    <row r="28" spans="2:10" ht="20.25" customHeight="1" x14ac:dyDescent="0.2">
      <c r="B28" s="37"/>
      <c r="C28" s="47" t="str">
        <f t="shared" si="0"/>
        <v>Mandatory</v>
      </c>
      <c r="D28" s="201"/>
      <c r="E28" s="201"/>
      <c r="F28" s="208" t="str">
        <f>IF($J$10=TRUE,"Product Flowchart (including PCCs)","Fluxograma do Produto (incluindo PCCs)")</f>
        <v>Product Flowchart (including PCCs)</v>
      </c>
      <c r="G28" s="209"/>
      <c r="H28" s="210"/>
      <c r="I28" s="38"/>
      <c r="J28" s="32"/>
    </row>
    <row r="29" spans="2:10" ht="12.75" customHeight="1" x14ac:dyDescent="0.2">
      <c r="B29" s="36"/>
      <c r="C29" s="47" t="str">
        <f t="shared" si="0"/>
        <v>Mandatory</v>
      </c>
      <c r="D29" s="201"/>
      <c r="E29" s="201"/>
      <c r="F29" s="208" t="str">
        <f>IF($J$10=TRUE,"GMP (Good Manufacturer Practices) Plan","Plano BPF (Boas Práticas de Fabricação)")</f>
        <v>GMP (Good Manufacturer Practices) Plan</v>
      </c>
      <c r="G29" s="209"/>
      <c r="H29" s="210"/>
      <c r="I29" s="24"/>
    </row>
    <row r="30" spans="2:10" ht="22.5" customHeight="1" x14ac:dyDescent="0.2">
      <c r="B30" s="37"/>
      <c r="C30" s="47" t="str">
        <f t="shared" si="0"/>
        <v>Mandatory</v>
      </c>
      <c r="D30" s="201"/>
      <c r="E30" s="201"/>
      <c r="F30" s="208" t="str">
        <f>IF($J$10=TRUE,"Heavy Metals last report (Arsenio, lead, mercury and cadmium)","Último relatório de metais pesados (arsênio, chumbo, mercúrio e cádmio)")</f>
        <v>Heavy Metals last report (Arsenio, lead, mercury and cadmium)</v>
      </c>
      <c r="G30" s="209"/>
      <c r="H30" s="210"/>
      <c r="I30" s="38"/>
      <c r="J30" s="32"/>
    </row>
    <row r="31" spans="2:10" ht="24" customHeight="1" x14ac:dyDescent="0.2">
      <c r="B31" s="37"/>
      <c r="C31" s="47" t="str">
        <f t="shared" si="0"/>
        <v>Mandatory</v>
      </c>
      <c r="D31" s="201"/>
      <c r="E31" s="201"/>
      <c r="F31" s="208" t="str">
        <f>IF($J$10=TRUE,"Declaration of absence of products  of animal origin","Declaração de ausência de produtos de origem animal (português e inglês);")</f>
        <v>Declaration of absence of products  of animal origin</v>
      </c>
      <c r="G31" s="209"/>
      <c r="H31" s="210"/>
      <c r="I31" s="38"/>
      <c r="J31" s="32"/>
    </row>
    <row r="32" spans="2:10" ht="41.25" customHeight="1" x14ac:dyDescent="0.2">
      <c r="B32" s="37"/>
      <c r="C32" s="47" t="str">
        <f t="shared" si="0"/>
        <v>Mandatory</v>
      </c>
      <c r="D32" s="201"/>
      <c r="E32" s="201"/>
      <c r="F32" s="208" t="str">
        <f>IF($J$10=TRUE,"GMO Absecence/Presence - Statement","Declaração de ausência de GMO;")</f>
        <v>GMO Absecence/Presence - Statement</v>
      </c>
      <c r="G32" s="209"/>
      <c r="H32" s="210"/>
      <c r="I32" s="38"/>
      <c r="J32" s="32"/>
    </row>
    <row r="33" spans="2:10" ht="25.5" customHeight="1" x14ac:dyDescent="0.2">
      <c r="B33" s="37"/>
      <c r="C33" s="47" t="str">
        <f t="shared" si="0"/>
        <v>Mandatory</v>
      </c>
      <c r="D33" s="201"/>
      <c r="E33" s="201"/>
      <c r="F33" s="208" t="str">
        <f>IF($J$10=TRUE,"Coccidiostats last report","Declaração de produto livre de coccidiostáticos")</f>
        <v>Coccidiostats last report</v>
      </c>
      <c r="G33" s="209"/>
      <c r="H33" s="210"/>
      <c r="I33" s="38"/>
      <c r="J33" s="32"/>
    </row>
    <row r="34" spans="2:10" ht="31.5" customHeight="1" x14ac:dyDescent="0.2">
      <c r="B34" s="37"/>
      <c r="C34" s="47" t="str">
        <f t="shared" si="0"/>
        <v>Mandatory</v>
      </c>
      <c r="D34" s="201"/>
      <c r="E34" s="201"/>
      <c r="F34" s="208" t="str">
        <f>IF($J$10=TRUE,"Ractopamin absence/presence - Statement","Declaração de ausência de ractopamina")</f>
        <v>Ractopamin absence/presence - Statement</v>
      </c>
      <c r="G34" s="209"/>
      <c r="H34" s="210"/>
      <c r="I34" s="38"/>
      <c r="J34" s="32"/>
    </row>
    <row r="35" spans="2:10" ht="29.25" customHeight="1" x14ac:dyDescent="0.2">
      <c r="B35" s="37"/>
      <c r="C35" s="47" t="str">
        <f t="shared" si="0"/>
        <v>Mandatory</v>
      </c>
      <c r="D35" s="201"/>
      <c r="E35" s="201"/>
      <c r="F35" s="208" t="str">
        <f>IF($J$10=TRUE,"Allergenic Declaration","Declaração de produto livre de alergênicos")</f>
        <v>Allergenic Declaration</v>
      </c>
      <c r="G35" s="209"/>
      <c r="H35" s="210"/>
      <c r="I35" s="38"/>
      <c r="J35" s="32"/>
    </row>
    <row r="36" spans="2:10" ht="28.5" customHeight="1" x14ac:dyDescent="0.2">
      <c r="B36" s="37"/>
      <c r="C36" s="47" t="str">
        <f t="shared" si="0"/>
        <v>Mandatory</v>
      </c>
      <c r="D36" s="201"/>
      <c r="E36" s="201"/>
      <c r="F36" s="208" t="str">
        <f>IF($J$10=TRUE,"Declaration of non-toxicity on the packaging used;","Laudo ou declaração de atoxidade nas embalagens utilizadas;")</f>
        <v>Declaration of non-toxicity on the packaging used;</v>
      </c>
      <c r="G36" s="209"/>
      <c r="H36" s="210"/>
      <c r="I36" s="38"/>
      <c r="J36" s="32"/>
    </row>
    <row r="37" spans="2:10" ht="36.75" customHeight="1" x14ac:dyDescent="0.2">
      <c r="B37" s="37"/>
      <c r="C37" s="47" t="str">
        <f t="shared" si="0"/>
        <v>Mandatory</v>
      </c>
      <c r="D37" s="201"/>
      <c r="E37" s="201"/>
      <c r="F37" s="208" t="str">
        <f>IF($J$10=TRUE,"Quality plan of the product provided describing the analysis performed, frequency, specifications, methodology used (reference)","Plano da qualidade para o produto acabado fornecido descrevendo as análises realizadas, frequência, especificações, Metodologia (referência)")</f>
        <v>Quality plan of the product provided describing the analysis performed, frequency, specifications, methodology used (reference)</v>
      </c>
      <c r="G37" s="209"/>
      <c r="H37" s="210"/>
      <c r="I37" s="38"/>
      <c r="J37" s="32"/>
    </row>
    <row r="38" spans="2:10" ht="24.75" customHeight="1" x14ac:dyDescent="0.2">
      <c r="B38" s="37"/>
      <c r="C38" s="47" t="str">
        <f t="shared" si="0"/>
        <v>Mandatory</v>
      </c>
      <c r="D38" s="201"/>
      <c r="E38" s="201"/>
      <c r="F38" s="208" t="str">
        <f>IF($J$10=TRUE," Dioxins, Furans and PCBs last report","Último relatório sobre dioxinas, furanos e PCBs")</f>
        <v xml:space="preserve"> Dioxins, Furans and PCBs last report</v>
      </c>
      <c r="G38" s="209"/>
      <c r="H38" s="210"/>
      <c r="I38" s="38"/>
      <c r="J38" s="32"/>
    </row>
    <row r="39" spans="2:10" ht="29.25" customHeight="1" x14ac:dyDescent="0.2">
      <c r="B39" s="37"/>
      <c r="C39" s="47" t="str">
        <f t="shared" si="0"/>
        <v>Mandatory</v>
      </c>
      <c r="D39" s="201"/>
      <c r="E39" s="201"/>
      <c r="F39" s="208" t="str">
        <f>IF($J$10=TRUE,"Mycotoxins last report (aflatoxins B1, B2 and G1, G2)","Último relatório de micotoxinas (aflatoxinas B1, B2 e G1, G2)")</f>
        <v>Mycotoxins last report (aflatoxins B1, B2 and G1, G2)</v>
      </c>
      <c r="G39" s="209"/>
      <c r="H39" s="210"/>
      <c r="I39" s="38"/>
      <c r="J39" s="32"/>
    </row>
    <row r="40" spans="2:10" ht="43.5" customHeight="1" x14ac:dyDescent="0.2">
      <c r="B40" s="37"/>
      <c r="C40" s="47" t="str">
        <f t="shared" si="0"/>
        <v>Mandatory</v>
      </c>
      <c r="D40" s="201"/>
      <c r="E40" s="201"/>
      <c r="F40" s="208" t="str">
        <f>IF($J$10=TRUE,"Microbiology last report (mesophilic bacteria, enterobacteriaceae, molds and yeasts, E.coli and Salmonella)","Último relatório de microbiologia (bactérias mesófilas, enterobactérias, bolores e leveduras, E.coli e Salmonella)")</f>
        <v>Microbiology last report (mesophilic bacteria, enterobacteriaceae, molds and yeasts, E.coli and Salmonella)</v>
      </c>
      <c r="G40" s="209"/>
      <c r="H40" s="210"/>
      <c r="I40" s="38"/>
      <c r="J40" s="32"/>
    </row>
    <row r="41" spans="2:10" ht="22.5" customHeight="1" x14ac:dyDescent="0.2">
      <c r="B41" s="37"/>
      <c r="C41" s="47" t="str">
        <f>IF(F41="","","Obrigatório")</f>
        <v/>
      </c>
      <c r="D41" s="201"/>
      <c r="E41" s="201"/>
      <c r="F41" s="208" t="str">
        <f>IF($J$10=TRUE,"","Licença IBAMA")</f>
        <v/>
      </c>
      <c r="G41" s="209"/>
      <c r="H41" s="210"/>
      <c r="I41" s="38"/>
      <c r="J41" s="32"/>
    </row>
    <row r="42" spans="2:10" ht="32.25" customHeight="1" x14ac:dyDescent="0.2">
      <c r="B42" s="37"/>
      <c r="C42" s="46" t="str">
        <f>IF($J$10=TRUE,"Differencial","Diferencial")</f>
        <v>Differencial</v>
      </c>
      <c r="D42" s="201"/>
      <c r="E42" s="201"/>
      <c r="F42" s="208" t="str">
        <f>IF($J$10=TRUE,"Food Safety Certificates (e.g., GMP+FSA, FSSC 22000, FAMI QS, BRC...)","Certificados de Segurança de Alimentos (por exemplo, GMP+FSA, FSSC 22000, FAMI QS, BRC...)")</f>
        <v>Food Safety Certificates (e.g., GMP+FSA, FSSC 22000, FAMI QS, BRC...)</v>
      </c>
      <c r="G42" s="209"/>
      <c r="H42" s="210"/>
      <c r="I42" s="38"/>
      <c r="J42" s="32"/>
    </row>
    <row r="43" spans="2:10" ht="13.5" customHeight="1" x14ac:dyDescent="0.2">
      <c r="B43" s="36"/>
      <c r="I43" s="24"/>
    </row>
    <row r="44" spans="2:10" ht="13.5" customHeight="1" x14ac:dyDescent="0.25">
      <c r="B44" s="112"/>
      <c r="C44" s="61"/>
      <c r="D44" s="74"/>
      <c r="E44" s="74"/>
      <c r="F44" s="74"/>
      <c r="I44" s="24"/>
    </row>
    <row r="45" spans="2:10" x14ac:dyDescent="0.2">
      <c r="B45" s="36"/>
      <c r="C45" s="134"/>
      <c r="D45" s="212"/>
      <c r="E45" s="212"/>
      <c r="F45" s="212"/>
      <c r="G45" s="212"/>
      <c r="I45" s="24"/>
    </row>
    <row r="46" spans="2:10" x14ac:dyDescent="0.2">
      <c r="B46" s="39"/>
      <c r="C46" s="135"/>
      <c r="D46" s="213"/>
      <c r="E46" s="213"/>
      <c r="F46" s="213"/>
      <c r="G46" s="213"/>
      <c r="H46" s="30"/>
      <c r="I46" s="31"/>
    </row>
    <row r="48" spans="2:10" x14ac:dyDescent="0.2">
      <c r="G48" s="154"/>
      <c r="H48" s="154"/>
      <c r="I48" s="154"/>
      <c r="J48" s="139"/>
    </row>
    <row r="49" spans="2:10" x14ac:dyDescent="0.2">
      <c r="B49" s="41"/>
      <c r="C49" s="83"/>
      <c r="D49" s="69"/>
      <c r="E49" s="69"/>
      <c r="F49" s="69"/>
      <c r="G49" s="75"/>
      <c r="H49" s="42"/>
      <c r="I49" s="43"/>
      <c r="J49" s="40"/>
    </row>
    <row r="50" spans="2:10" x14ac:dyDescent="0.2">
      <c r="B50" s="36"/>
      <c r="I50" s="24"/>
    </row>
    <row r="51" spans="2:10" x14ac:dyDescent="0.2">
      <c r="B51" s="211" t="str">
        <f>IF($J$10=TRUE,"MANUFACTURING COMPANY QUESTIONNAIRE","QUESTIONÁRIO DA EMPRESA FABRICANTE")</f>
        <v>MANUFACTURING COMPANY QUESTIONNAIRE</v>
      </c>
      <c r="C51" s="211"/>
      <c r="D51" s="211"/>
      <c r="E51" s="211"/>
      <c r="F51" s="211"/>
      <c r="G51" s="211"/>
      <c r="H51" s="211"/>
      <c r="I51" s="211"/>
    </row>
    <row r="52" spans="2:10" ht="19.5" customHeight="1" x14ac:dyDescent="0.2">
      <c r="B52" s="183" t="str">
        <f>IF($J$10=TRUE,"Read each statement and mark with an X in the column according to the company's service in the item.","Por favor, leia cada enunciado e assinale com um X na coluna correspondente ao atendimento da empresa para o respectivo item.")</f>
        <v>Read each statement and mark with an X in the column according to the company's service in the item.</v>
      </c>
      <c r="C52" s="184"/>
      <c r="D52" s="184"/>
      <c r="E52" s="184"/>
      <c r="F52" s="184"/>
      <c r="G52" s="184"/>
      <c r="H52" s="184"/>
      <c r="I52" s="185"/>
    </row>
    <row r="53" spans="2:10" ht="15.75" x14ac:dyDescent="0.2">
      <c r="B53" s="167" t="str">
        <f>IF($J$10=TRUE,"Organizational Data","Dados Organizacionais")</f>
        <v>Organizational Data</v>
      </c>
      <c r="C53" s="168"/>
      <c r="D53" s="168"/>
      <c r="E53" s="168"/>
      <c r="F53" s="168"/>
      <c r="G53" s="168"/>
      <c r="H53" s="168"/>
      <c r="I53" s="169"/>
    </row>
    <row r="54" spans="2:10" ht="27.75" customHeight="1" x14ac:dyDescent="0.2">
      <c r="B54" s="170" t="str">
        <f>IF($J$10=TRUE,"Items (Answer the question with an X. If the answer is NA, please justify the answer at the Observation field.","Itens (Selecione a resposta com X) / Se NA, justificar em Observações")</f>
        <v>Items (Answer the question with an X. If the answer is NA, please justify the answer at the Observation field.</v>
      </c>
      <c r="C54" s="171"/>
      <c r="D54" s="114" t="str">
        <f>IF($J$10=TRUE,"Yes","Sim")</f>
        <v>Yes</v>
      </c>
      <c r="E54" s="114" t="str">
        <f>IF($J$10=TRUE,"No","Não")</f>
        <v>No</v>
      </c>
      <c r="F54" s="114" t="str">
        <f>IF($J$10=TRUE,"In progress","Em andamento")</f>
        <v>In progress</v>
      </c>
      <c r="G54" s="113" t="str">
        <f>IF($J$10=TRUE,"NA (not applicable)","NA")</f>
        <v>NA (not applicable)</v>
      </c>
      <c r="H54" s="172" t="str">
        <f>IF($J$10=TRUE,"Observation","Observações")</f>
        <v>Observation</v>
      </c>
      <c r="I54" s="173"/>
    </row>
    <row r="55" spans="2:10" ht="51.75" customHeight="1" x14ac:dyDescent="0.2">
      <c r="B55" s="60">
        <v>1</v>
      </c>
      <c r="C55" s="107" t="str">
        <f>IF($J$10=TRUE,"Does the company have a contract with its employees?","A empresa possui contrato com seus funcionários?")</f>
        <v>Does the company have a contract with its employees?</v>
      </c>
      <c r="D55" s="129"/>
      <c r="E55" s="129"/>
      <c r="F55" s="129"/>
      <c r="G55" s="129"/>
      <c r="H55" s="166"/>
      <c r="I55" s="166"/>
    </row>
    <row r="56" spans="2:10" ht="46.5" customHeight="1" x14ac:dyDescent="0.2">
      <c r="B56" s="60">
        <v>2</v>
      </c>
      <c r="C56" s="107" t="str">
        <f>IF($J$10=TRUE,"Is the working hours according to the current legislation of your country?","O horário de trabalho está de acordo com a legislação?")</f>
        <v>Is the working hours according to the current legislation of your country?</v>
      </c>
      <c r="D56" s="129"/>
      <c r="E56" s="129"/>
      <c r="F56" s="129"/>
      <c r="G56" s="129"/>
      <c r="H56" s="166"/>
      <c r="I56" s="166"/>
    </row>
    <row r="57" spans="2:10" ht="25.5" x14ac:dyDescent="0.2">
      <c r="B57" s="60">
        <v>3</v>
      </c>
      <c r="C57" s="107" t="str">
        <f>IF($J$10=TRUE,"Does the company collect charges and taxes defined in the legislation ?","A empresa recolhe encargos e impostos definidos na legislação?")</f>
        <v>Does the company collect charges and taxes defined in the legislation ?</v>
      </c>
      <c r="D57" s="129"/>
      <c r="E57" s="129"/>
      <c r="F57" s="129"/>
      <c r="G57" s="129"/>
      <c r="H57" s="166"/>
      <c r="I57" s="166"/>
    </row>
    <row r="58" spans="2:10" ht="38.25" x14ac:dyDescent="0.2">
      <c r="B58" s="60">
        <v>4</v>
      </c>
      <c r="C58" s="107" t="str">
        <f>IF($J$10=TRUE,"Does the company use any electronic managerial/administrative tool? Which?","A empresa utiliza alguma ferramenta gerencial/administrativa eletrônica? Qual?")</f>
        <v>Does the company use any electronic managerial/administrative tool? Which?</v>
      </c>
      <c r="D58" s="129"/>
      <c r="E58" s="129"/>
      <c r="F58" s="129"/>
      <c r="G58" s="129"/>
      <c r="H58" s="166"/>
      <c r="I58" s="166"/>
    </row>
    <row r="59" spans="2:10" ht="15.75" x14ac:dyDescent="0.2">
      <c r="B59" s="167" t="str">
        <f>IF($J$10=TRUE,"Training Information","Informações de Treinamento")</f>
        <v>Training Information</v>
      </c>
      <c r="C59" s="168"/>
      <c r="D59" s="168"/>
      <c r="E59" s="168"/>
      <c r="F59" s="168"/>
      <c r="G59" s="168"/>
      <c r="H59" s="168"/>
      <c r="I59" s="169"/>
    </row>
    <row r="60" spans="2:10" ht="26.25" customHeight="1" x14ac:dyDescent="0.2">
      <c r="B60" s="170" t="str">
        <f>IF($J$10=TRUE,"Items (Answer the question with an X. If the answer is NA, please justify the answer at the Observation field.","Itens (Selecione a resposta com X) / Se NA, justificar em Observações")</f>
        <v>Items (Answer the question with an X. If the answer is NA, please justify the answer at the Observation field.</v>
      </c>
      <c r="C60" s="171"/>
      <c r="D60" s="114" t="str">
        <f>IF($J$10=TRUE,"Yes","Sim")</f>
        <v>Yes</v>
      </c>
      <c r="E60" s="114" t="str">
        <f>IF($J$10=TRUE,"No","Não")</f>
        <v>No</v>
      </c>
      <c r="F60" s="114" t="str">
        <f>IF($J$10=TRUE,"In progress","Em andamento")</f>
        <v>In progress</v>
      </c>
      <c r="G60" s="113" t="str">
        <f>IF($J$10=TRUE,"NA (not applicable)","NA")</f>
        <v>NA (not applicable)</v>
      </c>
      <c r="H60" s="172" t="str">
        <f>IF($J$10=TRUE,"Observation","Observações")</f>
        <v>Observation</v>
      </c>
      <c r="I60" s="173"/>
    </row>
    <row r="61" spans="2:10" x14ac:dyDescent="0.2">
      <c r="B61" s="60">
        <v>5</v>
      </c>
      <c r="C61" s="107" t="str">
        <f>IF($J$10=TRUE,"Are there written training programs?","Existem programas de treinamento escritos?")</f>
        <v>Are there written training programs?</v>
      </c>
      <c r="D61" s="129"/>
      <c r="E61" s="129"/>
      <c r="F61" s="129"/>
      <c r="G61" s="129"/>
      <c r="H61" s="166"/>
      <c r="I61" s="166"/>
    </row>
    <row r="62" spans="2:10" x14ac:dyDescent="0.2">
      <c r="B62" s="60">
        <v>6</v>
      </c>
      <c r="C62" s="107" t="str">
        <f>IF($J$10=TRUE,"Are the employes qualified?","Os funcionários são qualificados?")</f>
        <v>Are the employes qualified?</v>
      </c>
      <c r="D62" s="129"/>
      <c r="E62" s="129"/>
      <c r="F62" s="129"/>
      <c r="G62" s="129"/>
      <c r="H62" s="166"/>
      <c r="I62" s="166"/>
    </row>
    <row r="63" spans="2:10" ht="32.25" customHeight="1" x14ac:dyDescent="0.2">
      <c r="B63" s="60">
        <v>7</v>
      </c>
      <c r="C63" s="107" t="str">
        <f>IF($J$10=TRUE,"Are there training records kept in controlled files?","Há registros de treinamento mantidos em arquivos controlados?")</f>
        <v>Are there training records kept in controlled files?</v>
      </c>
      <c r="D63" s="129"/>
      <c r="E63" s="129"/>
      <c r="F63" s="129"/>
      <c r="G63" s="129"/>
      <c r="H63" s="166"/>
      <c r="I63" s="166"/>
    </row>
    <row r="64" spans="2:10" ht="12" customHeight="1" x14ac:dyDescent="0.2">
      <c r="B64" s="167" t="str">
        <f>IF($J$10=TRUE,"Safety, Ocupational Health and Environment","Segurança, Saúde Ocupacional e Meio Ambiente")</f>
        <v>Safety, Ocupational Health and Environment</v>
      </c>
      <c r="C64" s="168"/>
      <c r="D64" s="168"/>
      <c r="E64" s="168"/>
      <c r="F64" s="168"/>
      <c r="G64" s="168"/>
      <c r="H64" s="168"/>
      <c r="I64" s="169"/>
    </row>
    <row r="65" spans="2:9" ht="29.25" customHeight="1" x14ac:dyDescent="0.2">
      <c r="B65" s="170" t="str">
        <f>IF($J$10=TRUE,"Items (Answer the question with an X. If the answer is NA, please justify the answer at the Observation field.","Itens (Selecione a resposta com X) / Se NA, justificar em Observações")</f>
        <v>Items (Answer the question with an X. If the answer is NA, please justify the answer at the Observation field.</v>
      </c>
      <c r="C65" s="171"/>
      <c r="D65" s="114" t="str">
        <f>IF($J$10=TRUE,"Yes","Sim")</f>
        <v>Yes</v>
      </c>
      <c r="E65" s="114" t="str">
        <f>IF($J$10=TRUE,"No","Não")</f>
        <v>No</v>
      </c>
      <c r="F65" s="114" t="str">
        <f>IF($J$10=TRUE,"In progress","Em andamento")</f>
        <v>In progress</v>
      </c>
      <c r="G65" s="113" t="str">
        <f>IF($J$10=TRUE,"NA (not applicable)","NA")</f>
        <v>NA (not applicable)</v>
      </c>
      <c r="H65" s="172" t="str">
        <f>IF($J$10=TRUE,"Observation","Observações")</f>
        <v>Observation</v>
      </c>
      <c r="I65" s="173"/>
    </row>
    <row r="66" spans="2:9" ht="27" customHeight="1" x14ac:dyDescent="0.2">
      <c r="B66" s="60">
        <v>8</v>
      </c>
      <c r="C66" s="107" t="str">
        <f>IF($J$10=TRUE,"Are there written security procedures?","Existem procedimentos de segurança escritos?")</f>
        <v>Are there written security procedures?</v>
      </c>
      <c r="D66" s="129"/>
      <c r="E66" s="129"/>
      <c r="F66" s="129"/>
      <c r="G66" s="129"/>
      <c r="H66" s="166"/>
      <c r="I66" s="166"/>
    </row>
    <row r="67" spans="2:9" ht="24.75" customHeight="1" x14ac:dyDescent="0.2">
      <c r="B67" s="60">
        <v>9</v>
      </c>
      <c r="C67" s="107" t="str">
        <f>IF($J$10=TRUE,"Are there written procedures for recording and investigating accidents?","Existem procedimentos escritos para registrar e investigar acidentes?")</f>
        <v>Are there written procedures for recording and investigating accidents?</v>
      </c>
      <c r="D67" s="129"/>
      <c r="E67" s="129"/>
      <c r="F67" s="129"/>
      <c r="G67" s="129"/>
      <c r="H67" s="166"/>
      <c r="I67" s="166"/>
    </row>
    <row r="68" spans="2:9" ht="35.25" customHeight="1" x14ac:dyDescent="0.2">
      <c r="B68" s="60">
        <v>10</v>
      </c>
      <c r="C68" s="107" t="str">
        <f>IF($J$10=TRUE,"Are work safety training carried out for emplyees?","São realizados treinamentos de segurança do trabalho para os funcionários?")</f>
        <v>Are work safety training carried out for emplyees?</v>
      </c>
      <c r="D68" s="129"/>
      <c r="E68" s="129"/>
      <c r="F68" s="129"/>
      <c r="G68" s="129"/>
      <c r="H68" s="166"/>
      <c r="I68" s="166"/>
    </row>
    <row r="69" spans="2:9" ht="25.5" x14ac:dyDescent="0.2">
      <c r="B69" s="60">
        <v>11</v>
      </c>
      <c r="C69" s="107" t="str">
        <f>IF($J$10=TRUE,"Is the Environmental Risk Prevention Program (ERPP) implemented?","O Programa de Prevenção de Riscos Ambientais (PPRA) está implementado?")</f>
        <v>Is the Environmental Risk Prevention Program (ERPP) implemented?</v>
      </c>
      <c r="D69" s="129"/>
      <c r="E69" s="129"/>
      <c r="F69" s="129"/>
      <c r="G69" s="129"/>
      <c r="H69" s="166"/>
      <c r="I69" s="166"/>
    </row>
    <row r="70" spans="2:9" ht="30.75" customHeight="1" x14ac:dyDescent="0.2">
      <c r="B70" s="60">
        <v>12</v>
      </c>
      <c r="C70" s="107" t="str">
        <f>IF($J$10=TRUE,"Does the company have a waste management program?","A empresa possui um programa de gerenciamento de resíduos?")</f>
        <v>Does the company have a waste management program?</v>
      </c>
      <c r="D70" s="129"/>
      <c r="E70" s="129"/>
      <c r="F70" s="129"/>
      <c r="G70" s="129"/>
      <c r="H70" s="166"/>
      <c r="I70" s="166"/>
    </row>
    <row r="71" spans="2:9" ht="38.25" x14ac:dyDescent="0.2">
      <c r="B71" s="60">
        <v>13</v>
      </c>
      <c r="C71" s="107" t="str">
        <f>IF($J$10=TRUE,"Is the implemented Program for Medical Control and Occupational Health –  PCMSO?","O Programa de Controle Médico e Saúde Ocupacional – PCMSO está implantado?")</f>
        <v>Is the implemented Program for Medical Control and Occupational Health –  PCMSO?</v>
      </c>
      <c r="D71" s="129"/>
      <c r="E71" s="129"/>
      <c r="F71" s="129"/>
      <c r="G71" s="129"/>
      <c r="H71" s="166"/>
      <c r="I71" s="166"/>
    </row>
    <row r="72" spans="2:9" ht="25.5" x14ac:dyDescent="0.2">
      <c r="B72" s="60">
        <v>14</v>
      </c>
      <c r="C72" s="107" t="str">
        <f>IF($J$10=TRUE,"Do you comply with current legislation on occupational health and safety?","Você cumpre a legislação vigente sobre saúde e segurança ocupacional?")</f>
        <v>Do you comply with current legislation on occupational health and safety?</v>
      </c>
      <c r="D72" s="129"/>
      <c r="E72" s="129"/>
      <c r="F72" s="129"/>
      <c r="G72" s="129"/>
      <c r="H72" s="166"/>
      <c r="I72" s="166"/>
    </row>
    <row r="73" spans="2:9" ht="25.5" x14ac:dyDescent="0.2">
      <c r="B73" s="60">
        <v>15</v>
      </c>
      <c r="C73" s="107" t="str">
        <f>IF($J$10=TRUE,"Do you have an environment license? Please send a copy","Você possui licença ambiental? Por favor envie uma cópia")</f>
        <v>Do you have an environment license? Please send a copy</v>
      </c>
      <c r="D73" s="129"/>
      <c r="E73" s="129"/>
      <c r="F73" s="129"/>
      <c r="G73" s="129"/>
      <c r="H73" s="166"/>
      <c r="I73" s="166"/>
    </row>
    <row r="74" spans="2:9" ht="15.75" x14ac:dyDescent="0.2">
      <c r="B74" s="167" t="str">
        <f>IF($J$10=TRUE,"Manufacturer Information / Process Information","Informações do fabricante/Informações do Processo")</f>
        <v>Manufacturer Information / Process Information</v>
      </c>
      <c r="C74" s="168"/>
      <c r="D74" s="168"/>
      <c r="E74" s="168"/>
      <c r="F74" s="168"/>
      <c r="G74" s="168"/>
      <c r="H74" s="168"/>
      <c r="I74" s="169"/>
    </row>
    <row r="75" spans="2:9" ht="28.5" customHeight="1" x14ac:dyDescent="0.2">
      <c r="B75" s="170" t="str">
        <f>IF($J$10=TRUE,"Items (Answer the question with an X. If the answer is NA, please justify the answer at the Observation field.","Itens (Selecione a resposta com X) / Se NA, justificar em Observações")</f>
        <v>Items (Answer the question with an X. If the answer is NA, please justify the answer at the Observation field.</v>
      </c>
      <c r="C75" s="171"/>
      <c r="D75" s="114" t="str">
        <f>IF($J$10=TRUE,"Yes","Sim")</f>
        <v>Yes</v>
      </c>
      <c r="E75" s="114" t="str">
        <f>IF($J$10=TRUE,"No","Não")</f>
        <v>No</v>
      </c>
      <c r="F75" s="114" t="str">
        <f>IF($J$10=TRUE,"In progress","Em andamento")</f>
        <v>In progress</v>
      </c>
      <c r="G75" s="113" t="str">
        <f>IF($J$10=TRUE,"NA (not applicable)","NA")</f>
        <v>NA (not applicable)</v>
      </c>
      <c r="H75" s="172" t="str">
        <f>IF($J$10=TRUE,"Observation","Observações")</f>
        <v>Observation</v>
      </c>
      <c r="I75" s="173"/>
    </row>
    <row r="76" spans="2:9" ht="63.75" x14ac:dyDescent="0.2">
      <c r="B76" s="60">
        <v>16</v>
      </c>
      <c r="C76" s="107" t="str">
        <f>IF($J$10=TRUE,"Does the company have a quality system and / or food safety management system, properly implemented and disseminated to all employees?","A empresa dispõe de um sistema de qualidade e/ou sistema de gestão de segurança alimentar, devidamente implementado e divulgado a todos os colaboradores?")</f>
        <v>Does the company have a quality system and / or food safety management system, properly implemented and disseminated to all employees?</v>
      </c>
      <c r="D76" s="129"/>
      <c r="E76" s="129"/>
      <c r="F76" s="129"/>
      <c r="G76" s="129"/>
      <c r="H76" s="166"/>
      <c r="I76" s="166"/>
    </row>
    <row r="77" spans="2:9" ht="38.25" x14ac:dyDescent="0.2">
      <c r="B77" s="60">
        <v>17</v>
      </c>
      <c r="C77" s="107" t="str">
        <f>IF($J$10=TRUE,"Have been the company already qualified by other customers? What are?","A empresa já foi qualificada por outros clientes? Quais?")</f>
        <v>Have been the company already qualified by other customers? What are?</v>
      </c>
      <c r="D77" s="129"/>
      <c r="E77" s="129"/>
      <c r="F77" s="129"/>
      <c r="G77" s="129"/>
      <c r="H77" s="166"/>
      <c r="I77" s="166"/>
    </row>
    <row r="78" spans="2:9" ht="68.25" customHeight="1" x14ac:dyDescent="0.2">
      <c r="B78" s="60">
        <v>18</v>
      </c>
      <c r="C78" s="107" t="str">
        <f>IF($J$10=TRUE," Is the quality management system and / or food safety management system submitted at regular intervals to internal and external audits? What is the frequency?","O sistema de gestão da qualidade e/ou sistema de gestão da segurança alimentar é submetido regularmente a auditorias internas e externas? Qual é a frequência?")</f>
        <v xml:space="preserve"> Is the quality management system and / or food safety management system submitted at regular intervals to internal and external audits? What is the frequency?</v>
      </c>
      <c r="D78" s="129"/>
      <c r="E78" s="129"/>
      <c r="F78" s="129"/>
      <c r="G78" s="129"/>
      <c r="H78" s="166"/>
      <c r="I78" s="166"/>
    </row>
    <row r="79" spans="2:9" ht="49.5" customHeight="1" x14ac:dyDescent="0.2">
      <c r="B79" s="60">
        <v>19</v>
      </c>
      <c r="C79" s="107" t="str">
        <f>IF($J$10=TRUE,"Is quality control done internally? If external what is the certification of the performer?","O controle de qualidade é feito internamente? Se externo, qual é a empresa? É certificada?")</f>
        <v>Is quality control done internally? If external what is the certification of the performer?</v>
      </c>
      <c r="D79" s="129"/>
      <c r="E79" s="129"/>
      <c r="F79" s="129"/>
      <c r="G79" s="129"/>
      <c r="H79" s="166"/>
      <c r="I79" s="166"/>
    </row>
    <row r="80" spans="2:9" ht="49.5" customHeight="1" x14ac:dyDescent="0.2">
      <c r="B80" s="60">
        <v>20</v>
      </c>
      <c r="C80" s="107" t="str">
        <f>IF($J$10=TRUE,"Does the company have Good Manufacturing Practices and/or  5S implanted?","A empresa possui Boas Práticas de Fabricação e/ou 5S implantados?")</f>
        <v>Does the company have Good Manufacturing Practices and/or  5S implanted?</v>
      </c>
      <c r="D80" s="129"/>
      <c r="E80" s="129"/>
      <c r="F80" s="129"/>
      <c r="G80" s="129"/>
      <c r="H80" s="166"/>
      <c r="I80" s="166"/>
    </row>
    <row r="81" spans="2:9" ht="49.5" customHeight="1" x14ac:dyDescent="0.2">
      <c r="B81" s="60">
        <v>21</v>
      </c>
      <c r="C81" s="107" t="str">
        <f>IF($J$10=TRUE,"Are there procedures for the processes?","Existem os processo têm procedimento documentado?")</f>
        <v>Are there procedures for the processes?</v>
      </c>
      <c r="D81" s="129"/>
      <c r="E81" s="129"/>
      <c r="F81" s="129"/>
      <c r="G81" s="129"/>
      <c r="H81" s="166"/>
      <c r="I81" s="166"/>
    </row>
    <row r="82" spans="2:9" ht="49.5" customHeight="1" x14ac:dyDescent="0.2">
      <c r="B82" s="60">
        <v>22</v>
      </c>
      <c r="C82" s="107" t="str">
        <f>IF($J$10=TRUE,"Are there procedures for receiving and inspecting raw materials?","Existem procedimentos para recebimento e inspeção de matérias-primas?")</f>
        <v>Are there procedures for receiving and inspecting raw materials?</v>
      </c>
      <c r="D82" s="129"/>
      <c r="E82" s="129"/>
      <c r="F82" s="129"/>
      <c r="G82" s="129"/>
      <c r="H82" s="166"/>
      <c r="I82" s="166"/>
    </row>
    <row r="83" spans="2:9" ht="49.5" customHeight="1" x14ac:dyDescent="0.2">
      <c r="B83" s="60">
        <v>23</v>
      </c>
      <c r="C83" s="107" t="str">
        <f>IF($J$10=TRUE,"Are there procedures for handling nonconformities?","Existem procedimentos para lidar com não conformidades?")</f>
        <v>Are there procedures for handling nonconformities?</v>
      </c>
      <c r="D83" s="129"/>
      <c r="E83" s="129"/>
      <c r="F83" s="129"/>
      <c r="G83" s="129"/>
      <c r="H83" s="166"/>
      <c r="I83" s="166"/>
    </row>
    <row r="84" spans="2:9" ht="25.5" x14ac:dyDescent="0.2">
      <c r="B84" s="60">
        <v>24</v>
      </c>
      <c r="C84" s="107" t="str">
        <f>IF($J$10=TRUE,"Is there a procedure for stocking the raw material and the final product?","Existe procedimento para estocagem da matéria-prima e do produto final?")</f>
        <v>Is there a procedure for stocking the raw material and the final product?</v>
      </c>
      <c r="D84" s="129"/>
      <c r="E84" s="129"/>
      <c r="F84" s="129"/>
      <c r="G84" s="129"/>
      <c r="H84" s="166"/>
      <c r="I84" s="166"/>
    </row>
    <row r="85" spans="2:9" ht="41.25" customHeight="1" x14ac:dyDescent="0.2">
      <c r="B85" s="60">
        <v>25</v>
      </c>
      <c r="C85" s="107" t="str">
        <f>IF($J$10=TRUE,"Are raw materials and final products released according to specifications?","As matérias-primas e os produtos finais são liberados de acordo com as especificações?")</f>
        <v>Are raw materials and final products released according to specifications?</v>
      </c>
      <c r="D85" s="129"/>
      <c r="E85" s="129"/>
      <c r="F85" s="129"/>
      <c r="G85" s="129"/>
      <c r="H85" s="166"/>
      <c r="I85" s="166"/>
    </row>
    <row r="86" spans="2:9" ht="25.5" x14ac:dyDescent="0.2">
      <c r="B86" s="60">
        <v>27</v>
      </c>
      <c r="C86" s="107" t="str">
        <f>IF($J$10=TRUE,"Are there procedures for traceability of raw materials and finished products?","Existem procedimentos de rastreabilidade de matérias-primas e produtos acabados?")</f>
        <v>Are there procedures for traceability of raw materials and finished products?</v>
      </c>
      <c r="D86" s="129"/>
      <c r="E86" s="129"/>
      <c r="F86" s="129"/>
      <c r="G86" s="129"/>
      <c r="H86" s="166"/>
      <c r="I86" s="166"/>
    </row>
    <row r="87" spans="2:9" ht="38.25" x14ac:dyDescent="0.2">
      <c r="B87" s="60">
        <v>28</v>
      </c>
      <c r="C87" s="107" t="str">
        <f>IF($J$10=TRUE,"Is there a raw material collection plan and analyze of raw material and final product documented?","Existe um plano de coleta de matéria-prima e análise documentada da matéria-prima e do produto final?")</f>
        <v>Is there a raw material collection plan and analyze of raw material and final product documented?</v>
      </c>
      <c r="D87" s="129"/>
      <c r="E87" s="129"/>
      <c r="F87" s="129"/>
      <c r="G87" s="129"/>
      <c r="H87" s="166"/>
      <c r="I87" s="166"/>
    </row>
    <row r="88" spans="2:9" ht="38.25" x14ac:dyDescent="0.2">
      <c r="B88" s="60">
        <v>29</v>
      </c>
      <c r="C88" s="107" t="str">
        <f>IF($J$10=TRUE,"Does the company adopt a sample collection procedure for the finished product? What is the retention time?","A empresa adota procedimento de coleta de amostras do produto acabado? Qual é o tempo de retenção?")</f>
        <v>Does the company adopt a sample collection procedure for the finished product? What is the retention time?</v>
      </c>
      <c r="D88" s="129"/>
      <c r="E88" s="129"/>
      <c r="F88" s="129"/>
      <c r="G88" s="129"/>
      <c r="H88" s="166"/>
      <c r="I88" s="166"/>
    </row>
    <row r="89" spans="2:9" ht="51" x14ac:dyDescent="0.2">
      <c r="B89" s="60">
        <v>30</v>
      </c>
      <c r="C89" s="107" t="str">
        <f>IF($J$10=TRUE,"Does the company have a policy of breaking glass and hard plastic implemented? Indicate monitoring frequency.","A empresa possui uma política de quebra de vidros e plásticos rígidos implementada? Indique a frequência de monitoramento.")</f>
        <v>Does the company have a policy of breaking glass and hard plastic implemented? Indicate monitoring frequency.</v>
      </c>
      <c r="D89" s="129"/>
      <c r="E89" s="129"/>
      <c r="F89" s="129"/>
      <c r="G89" s="129"/>
      <c r="H89" s="166"/>
      <c r="I89" s="166"/>
    </row>
    <row r="90" spans="2:9" ht="38.25" x14ac:dyDescent="0.2">
      <c r="B90" s="60">
        <v>31</v>
      </c>
      <c r="C90" s="107" t="str">
        <f>IF($J$10=TRUE,"Does the company use any ingredient of animal origin, such as antifoams, dispersants, amino acids, etc.?","A empresa utiliza algum ingrediente de origem animal, como antiespumantes, dispersantes, aminoácidos, etc.?")</f>
        <v>Does the company use any ingredient of animal origin, such as antifoams, dispersants, amino acids, etc.?</v>
      </c>
      <c r="D90" s="129"/>
      <c r="E90" s="129"/>
      <c r="F90" s="129"/>
      <c r="G90" s="129"/>
      <c r="H90" s="166"/>
      <c r="I90" s="166"/>
    </row>
    <row r="91" spans="2:9" ht="51" x14ac:dyDescent="0.2">
      <c r="B91" s="60">
        <v>32</v>
      </c>
      <c r="C91" s="107" t="str">
        <f>IF($J$10=TRUE,"Does the company have procedures and integrated pest control system implemented? Indicate the monitoring frequency.","A empresa possui procedimentos e sistema integrado de controle de pragas implementados? Indique a frequência de monitoramento.")</f>
        <v>Does the company have procedures and integrated pest control system implemented? Indicate the monitoring frequency.</v>
      </c>
      <c r="D91" s="129"/>
      <c r="E91" s="129"/>
      <c r="F91" s="129"/>
      <c r="G91" s="129"/>
      <c r="H91" s="166"/>
      <c r="I91" s="166"/>
    </row>
    <row r="92" spans="2:9" ht="25.5" x14ac:dyDescent="0.2">
      <c r="B92" s="60">
        <v>33</v>
      </c>
      <c r="C92" s="107" t="str">
        <f>IF($J$10=TRUE,"Is there procedure to avoid cross-contamination?","Existe procedimento para evitar contaminação cruzada?")</f>
        <v>Is there procedure to avoid cross-contamination?</v>
      </c>
      <c r="D92" s="129"/>
      <c r="E92" s="129"/>
      <c r="F92" s="129"/>
      <c r="G92" s="129"/>
      <c r="H92" s="166"/>
      <c r="I92" s="166"/>
    </row>
    <row r="93" spans="2:9" ht="38.25" x14ac:dyDescent="0.2">
      <c r="B93" s="60">
        <v>34</v>
      </c>
      <c r="C93" s="107" t="str">
        <f>IF($J$10=TRUE,"Are there adequate storage locations for raw materials and finished products?","Existem locais de armazenamento adequados para matérias-primas e produtos acabados?")</f>
        <v>Are there adequate storage locations for raw materials and finished products?</v>
      </c>
      <c r="D93" s="129"/>
      <c r="E93" s="129"/>
      <c r="F93" s="129"/>
      <c r="G93" s="129"/>
      <c r="H93" s="166"/>
      <c r="I93" s="166"/>
    </row>
    <row r="94" spans="2:9" ht="25.5" x14ac:dyDescent="0.2">
      <c r="B94" s="60">
        <v>35</v>
      </c>
      <c r="C94" s="107" t="str">
        <f>IF($J$10=TRUE,"Are there written procedures for the storage of final products?","Existem procedimentos escritos para o armazenamento dos produtos finais?")</f>
        <v>Are there written procedures for the storage of final products?</v>
      </c>
      <c r="D94" s="129"/>
      <c r="E94" s="129"/>
      <c r="F94" s="129"/>
      <c r="G94" s="129"/>
      <c r="H94" s="166"/>
      <c r="I94" s="166"/>
    </row>
    <row r="95" spans="2:9" ht="25.5" x14ac:dyDescent="0.2">
      <c r="B95" s="60">
        <v>36</v>
      </c>
      <c r="C95" s="107" t="str">
        <f>IF($J$10=TRUE,"Are there written procedures for inspection of final products?","Existem procedimentos escritos para inspeção de produtos finais?")</f>
        <v>Are there written procedures for inspection of final products?</v>
      </c>
      <c r="D95" s="129"/>
      <c r="E95" s="129"/>
      <c r="F95" s="129"/>
      <c r="G95" s="129"/>
      <c r="H95" s="166"/>
      <c r="I95" s="166"/>
    </row>
    <row r="96" spans="2:9" ht="38.25" x14ac:dyDescent="0.2">
      <c r="B96" s="60">
        <v>37</v>
      </c>
      <c r="C96" s="107" t="str">
        <f>IF($J$10=TRUE,"Is there a systematic and a control of product withdrawal (FIFO - First In, First out)?","Existe uma sistemática e controle de retirada de produtos (FIFO – First In, First out)?")</f>
        <v>Is there a systematic and a control of product withdrawal (FIFO - First In, First out)?</v>
      </c>
      <c r="D96" s="129"/>
      <c r="E96" s="129"/>
      <c r="F96" s="129"/>
      <c r="G96" s="129"/>
      <c r="H96" s="166"/>
      <c r="I96" s="166"/>
    </row>
    <row r="97" spans="2:12" ht="54.75" customHeight="1" x14ac:dyDescent="0.2">
      <c r="B97" s="60">
        <v>38</v>
      </c>
      <c r="C97" s="107" t="str">
        <f>IF($J$10=TRUE,"Are stored products identified according to batch number or some other criterion? Inform the model used.","Os produtos armazenados são identificados de acordo com o número do lote ou algum outro critério? Informe o modelo utilizado.")</f>
        <v>Are stored products identified according to batch number or some other criterion? Inform the model used.</v>
      </c>
      <c r="D97" s="129"/>
      <c r="E97" s="129"/>
      <c r="F97" s="129"/>
      <c r="G97" s="129"/>
      <c r="H97" s="166"/>
      <c r="I97" s="166"/>
    </row>
    <row r="98" spans="2:12" ht="51.75" customHeight="1" x14ac:dyDescent="0.2">
      <c r="B98" s="60">
        <v>39</v>
      </c>
      <c r="C98" s="107" t="str">
        <f>IF($J$10=TRUE,"Is there a secure system for controlling the shipment of products that have been released by quality warranty?","Existe um sistema seguro para controle do envio de produtos liberados pela garantia de qualidade?")</f>
        <v>Is there a secure system for controlling the shipment of products that have been released by quality warranty?</v>
      </c>
      <c r="D98" s="129"/>
      <c r="E98" s="129"/>
      <c r="F98" s="129"/>
      <c r="G98" s="129"/>
      <c r="H98" s="166"/>
      <c r="I98" s="166"/>
    </row>
    <row r="99" spans="2:12" ht="38.25" x14ac:dyDescent="0.2">
      <c r="B99" s="60">
        <v>40</v>
      </c>
      <c r="C99" s="107" t="str">
        <f>IF($J$10=TRUE,"Are materials that require specific storage conditions stored properly? Are these conditions monitored?","Os materiais que requerem condições específicas de armazenamento são armazenados adequadamente? Essas condições são monitoradas?")</f>
        <v>Are materials that require specific storage conditions stored properly? Are these conditions monitored?</v>
      </c>
      <c r="D99" s="129"/>
      <c r="E99" s="129"/>
      <c r="F99" s="129"/>
      <c r="G99" s="129"/>
      <c r="H99" s="166"/>
      <c r="I99" s="166"/>
    </row>
    <row r="100" spans="2:12" ht="36.75" customHeight="1" x14ac:dyDescent="0.2">
      <c r="B100" s="60">
        <v>41</v>
      </c>
      <c r="C100" s="107" t="str">
        <f>IF($J$10=TRUE," Is the efficiency of the Recall system regularly checked? What is the frequency?","A eficiência do sistema Recall é verificada regularmente? Qual é a frequência?")</f>
        <v xml:space="preserve"> Is the efficiency of the Recall system regularly checked? What is the frequency?</v>
      </c>
      <c r="D100" s="129"/>
      <c r="E100" s="129"/>
      <c r="F100" s="129"/>
      <c r="G100" s="129"/>
      <c r="H100" s="166"/>
      <c r="I100" s="166"/>
    </row>
    <row r="101" spans="2:12" ht="51" x14ac:dyDescent="0.2">
      <c r="B101" s="60">
        <v>42</v>
      </c>
      <c r="C101" s="107" t="str">
        <f>IF($J$10=TRUE,"Are there products from different sources stored in the same place, or is the warehouse unique to the same product type?","Existem produtos de diferentes origens armazenados no mesmo local ou o armazém é exclusivo para o mesmo tipo de produto?")</f>
        <v>Are there products from different sources stored in the same place, or is the warehouse unique to the same product type?</v>
      </c>
      <c r="D101" s="129"/>
      <c r="E101" s="129"/>
      <c r="F101" s="129"/>
      <c r="G101" s="129"/>
      <c r="H101" s="166"/>
      <c r="I101" s="166"/>
    </row>
    <row r="102" spans="2:12" ht="38.25" x14ac:dyDescent="0.2">
      <c r="B102" s="60">
        <v>43</v>
      </c>
      <c r="C102" s="107" t="str">
        <f>IF($J$10=TRUE,"Is there a customer complaint handling system? Are complaints recorded and handled?","Existe um sistema de tratamento de reclamação de clientes? As reclamações são registradas e tratadas?")</f>
        <v>Is there a customer complaint handling system? Are complaints recorded and handled?</v>
      </c>
      <c r="D102" s="129"/>
      <c r="E102" s="129"/>
      <c r="F102" s="129"/>
      <c r="G102" s="129"/>
      <c r="H102" s="166"/>
      <c r="I102" s="166"/>
    </row>
    <row r="103" spans="2:12" ht="15.75" x14ac:dyDescent="0.2">
      <c r="B103" s="167" t="str">
        <f>IF($J$10=TRUE,"Manufacturer Information / Process Information","Informações do fabricante/Informações do Processo")</f>
        <v>Manufacturer Information / Process Information</v>
      </c>
      <c r="C103" s="168"/>
      <c r="D103" s="168"/>
      <c r="E103" s="168"/>
      <c r="F103" s="168"/>
      <c r="G103" s="168"/>
      <c r="H103" s="168"/>
      <c r="I103" s="169"/>
    </row>
    <row r="104" spans="2:12" ht="25.5" customHeight="1" x14ac:dyDescent="0.2">
      <c r="B104" s="170" t="str">
        <f>IF($J$10=TRUE,"Items (Answer the question with an X. If the answer is NA, please justify the answer at the Observation field.","Itens (Selecione a resposta com X) / Se NA, justificar em Observações")</f>
        <v>Items (Answer the question with an X. If the answer is NA, please justify the answer at the Observation field.</v>
      </c>
      <c r="C104" s="171"/>
      <c r="D104" s="114" t="str">
        <f>IF($J$10=TRUE,"Yes","Sim")</f>
        <v>Yes</v>
      </c>
      <c r="E104" s="114" t="str">
        <f>IF($J$10=TRUE,"No","Não")</f>
        <v>No</v>
      </c>
      <c r="F104" s="114" t="str">
        <f>IF($J$10=TRUE,"In progress","Em andamento")</f>
        <v>In progress</v>
      </c>
      <c r="G104" s="113" t="str">
        <f>IF($J$10=TRUE,"NA (not applicable)","NA")</f>
        <v>NA (not applicable)</v>
      </c>
      <c r="H104" s="172" t="str">
        <f>IF($J$10=TRUE,"Observation","Observações")</f>
        <v>Observation</v>
      </c>
      <c r="I104" s="173"/>
    </row>
    <row r="105" spans="2:12" ht="63.75" x14ac:dyDescent="0.2">
      <c r="B105" s="60">
        <v>43</v>
      </c>
      <c r="C105" s="107" t="str">
        <f>IF($J$10=TRUE,"Are there control for microbiological/biological contaminants? Cite which contaminants are contolled and the frequency  of monitoring","Há controle de contaminantes microbiológicos/biológicos? Citar quais contaminantes são controlados e a frequência do monitoramento.")</f>
        <v>Are there control for microbiological/biological contaminants? Cite which contaminants are contolled and the frequency  of monitoring</v>
      </c>
      <c r="D105" s="129"/>
      <c r="E105" s="129"/>
      <c r="F105" s="129"/>
      <c r="G105" s="129"/>
      <c r="H105" s="166"/>
      <c r="I105" s="166"/>
    </row>
    <row r="106" spans="2:12" ht="51" x14ac:dyDescent="0.2">
      <c r="B106" s="60">
        <v>44</v>
      </c>
      <c r="C106" s="107" t="str">
        <f>IF($J$10=TRUE,"Are there control for quimical contaminants? Cite which contaminants are contolled and the frequency  of monitoring","Existe controle para contaminantes químicos? Cite quais contaminantes são controlados e a frequência de monitoramento")</f>
        <v>Are there control for quimical contaminants? Cite which contaminants are contolled and the frequency  of monitoring</v>
      </c>
      <c r="D106" s="129"/>
      <c r="E106" s="129"/>
      <c r="F106" s="129"/>
      <c r="G106" s="129"/>
      <c r="H106" s="166"/>
      <c r="I106" s="166"/>
    </row>
    <row r="107" spans="2:12" ht="63.75" x14ac:dyDescent="0.2">
      <c r="B107" s="60">
        <v>45</v>
      </c>
      <c r="C107" s="107" t="str">
        <f>IF($J$10=TRUE,"Are there control for physical contaminants? Are there procedures to prevent the occurence of foreing body ? Cite which controlls and the frequency of monitoring.","Existe controle para contaminantes físicos? Existem procedimentos para prevenir a ocorrência de corpo estranho? Cite quais controles e a frequência do monitoramento.")</f>
        <v>Are there control for physical contaminants? Are there procedures to prevent the occurence of foreing body ? Cite which controlls and the frequency of monitoring.</v>
      </c>
      <c r="D107" s="129"/>
      <c r="E107" s="129"/>
      <c r="F107" s="129"/>
      <c r="G107" s="129"/>
      <c r="H107" s="166"/>
      <c r="I107" s="166"/>
    </row>
    <row r="108" spans="2:12" ht="51" x14ac:dyDescent="0.2">
      <c r="B108" s="60">
        <v>46</v>
      </c>
      <c r="C108" s="107" t="str">
        <f>IF($J$10=TRUE,"Are there residual antibiotic or antimicrobial controls? If they are used in the company, indicate what they are.","Existem controles residuais de antibióticos ou antimicrobianos? Se forem utilizados na empresa, indique quais são.")</f>
        <v>Are there residual antibiotic or antimicrobial controls? If they are used in the company, indicate what they are.</v>
      </c>
      <c r="D108" s="129"/>
      <c r="E108" s="129"/>
      <c r="F108" s="129"/>
      <c r="G108" s="129"/>
      <c r="H108" s="166"/>
      <c r="I108" s="166"/>
    </row>
    <row r="109" spans="2:12" ht="38.25" x14ac:dyDescent="0.2">
      <c r="B109" s="60">
        <v>47</v>
      </c>
      <c r="C109" s="107" t="str">
        <f>IF($J$10=TRUE,"Are used lubricants of food grade in installations in contact with the product?","São utilizados lubrificantes de qualidade alimentar nas instalações em contato com o produto?")</f>
        <v>Are used lubricants of food grade in installations in contact with the product?</v>
      </c>
      <c r="D109" s="129"/>
      <c r="E109" s="129"/>
      <c r="F109" s="129"/>
      <c r="G109" s="129"/>
      <c r="H109" s="166"/>
      <c r="I109" s="166"/>
    </row>
    <row r="110" spans="2:12" x14ac:dyDescent="0.2">
      <c r="B110" s="89"/>
      <c r="C110" s="63"/>
      <c r="H110" s="85"/>
      <c r="I110" s="90"/>
    </row>
    <row r="111" spans="2:12" ht="36" customHeight="1" x14ac:dyDescent="0.2">
      <c r="B111" s="207" t="str">
        <f>IF($J$10=TRUE,"DISTRIBUTION COMPANY QUESTIONNAIRE (FILL ONLY IF IT IS DIFFERENT FROM THE MANUFACTURING COMPANY)","QUESTIONÁRIO DA EMPRESA DISTRIBUIDORA (PRRENCHER SOMENTE SE FOR DIFERENTE DA EMPRESA FABRICANTE)")</f>
        <v>DISTRIBUTION COMPANY QUESTIONNAIRE (FILL ONLY IF IT IS DIFFERENT FROM THE MANUFACTURING COMPANY)</v>
      </c>
      <c r="C111" s="207"/>
      <c r="D111" s="207"/>
      <c r="E111" s="207"/>
      <c r="F111" s="207"/>
      <c r="G111" s="207"/>
      <c r="H111" s="207"/>
      <c r="I111" s="207"/>
      <c r="L111" s="10"/>
    </row>
    <row r="112" spans="2:12" x14ac:dyDescent="0.2">
      <c r="B112" s="36"/>
      <c r="I112" s="24"/>
    </row>
    <row r="113" spans="2:9" ht="15.75" x14ac:dyDescent="0.2">
      <c r="B113" s="167" t="str">
        <f>IF($J$10=TRUE,"QUALITY AND FOOD SAFETY MANAGEMENT SYSTEM","SISTEMA DE GESTÃO DA QUALIDADE E SEGURANÇA DE ALIMENTOS")</f>
        <v>QUALITY AND FOOD SAFETY MANAGEMENT SYSTEM</v>
      </c>
      <c r="C113" s="168"/>
      <c r="D113" s="168"/>
      <c r="E113" s="168"/>
      <c r="F113" s="168"/>
      <c r="G113" s="168"/>
      <c r="H113" s="168"/>
      <c r="I113" s="169"/>
    </row>
    <row r="114" spans="2:9" ht="26.25" customHeight="1" x14ac:dyDescent="0.2">
      <c r="B114" s="170" t="str">
        <f>IF($J$10=TRUE,"Items (Answer the question with an X. If the answer is NA, please justify the answer at the Observation field.","Itens (Selecione a resposta com X) / Se NA, justificar em Observações")</f>
        <v>Items (Answer the question with an X. If the answer is NA, please justify the answer at the Observation field.</v>
      </c>
      <c r="C114" s="171"/>
      <c r="D114" s="114" t="str">
        <f>IF($J$10=TRUE,"Yes","Sim")</f>
        <v>Yes</v>
      </c>
      <c r="E114" s="114" t="str">
        <f>IF($J$10=TRUE,"No","Não")</f>
        <v>No</v>
      </c>
      <c r="F114" s="114" t="str">
        <f>IF($J$10=TRUE,"In progress","Em andamento")</f>
        <v>In progress</v>
      </c>
      <c r="G114" s="113" t="str">
        <f>IF($J$10=TRUE,"NA (not applicable)","NA")</f>
        <v>NA (not applicable)</v>
      </c>
      <c r="H114" s="172" t="str">
        <f>IF($J$10=TRUE,"Observation","Observações")</f>
        <v>Observation</v>
      </c>
      <c r="I114" s="173"/>
    </row>
    <row r="115" spans="2:9" ht="36.75" customHeight="1" x14ac:dyDescent="0.2">
      <c r="B115" s="60">
        <v>1</v>
      </c>
      <c r="C115" s="45" t="str">
        <f>IF($J$10=TRUE,"Are incoming and outgoing materials inspected? Are there registrations?","Os materiais recebidos e expedidos são inspecionados? Existem registro?")</f>
        <v>Are incoming and outgoing materials inspected? Are there registrations?</v>
      </c>
      <c r="D115" s="127"/>
      <c r="E115" s="127"/>
      <c r="F115" s="127"/>
      <c r="G115" s="127"/>
      <c r="H115" s="166"/>
      <c r="I115" s="166"/>
    </row>
    <row r="116" spans="2:9" ht="26.25" customHeight="1" x14ac:dyDescent="0.2">
      <c r="B116" s="60">
        <v>2</v>
      </c>
      <c r="C116" s="45" t="str">
        <f>IF($J$10=TRUE,"Does the product supplied come in the manufacturer's original packaging?","O produto fornecido vem na embalagem original do fabricante?")</f>
        <v>Does the product supplied come in the manufacturer's original packaging?</v>
      </c>
      <c r="D116" s="127"/>
      <c r="E116" s="127"/>
      <c r="F116" s="127"/>
      <c r="G116" s="127"/>
      <c r="H116" s="166"/>
      <c r="I116" s="166"/>
    </row>
    <row r="117" spans="2:9" ht="26.25" customHeight="1" x14ac:dyDescent="0.2">
      <c r="B117" s="60">
        <v>3</v>
      </c>
      <c r="C117" s="45" t="str">
        <f>IF($J$10=TRUE,"Are inspections/tests carried out on the product supplied?","São feitas inpeções/ensaios no produto fornecido?")</f>
        <v>Are inspections/tests carried out on the product supplied?</v>
      </c>
      <c r="D117" s="127"/>
      <c r="E117" s="127"/>
      <c r="F117" s="127"/>
      <c r="G117" s="127"/>
      <c r="H117" s="166"/>
      <c r="I117" s="166"/>
    </row>
    <row r="118" spans="2:9" ht="26.25" customHeight="1" x14ac:dyDescent="0.2">
      <c r="B118" s="60">
        <v>4</v>
      </c>
      <c r="C118" s="45" t="str">
        <f>IF($J$10=TRUE,"Is pest control implemented?","Existe controle de pragas implementado?")</f>
        <v>Is pest control implemented?</v>
      </c>
      <c r="D118" s="127"/>
      <c r="E118" s="127"/>
      <c r="F118" s="127"/>
      <c r="G118" s="127"/>
      <c r="H118" s="166"/>
      <c r="I118" s="166"/>
    </row>
    <row r="119" spans="2:9" ht="26.25" customHeight="1" x14ac:dyDescent="0.2">
      <c r="B119" s="60">
        <v>5</v>
      </c>
      <c r="C119" s="45" t="str">
        <f>IF($J$10=TRUE,"Is there a customer complaint handling system?","Existe um sistema de tratativa de reclamação de cliente?")</f>
        <v>Is there a customer complaint handling system?</v>
      </c>
      <c r="D119" s="127"/>
      <c r="E119" s="127"/>
      <c r="F119" s="127"/>
      <c r="G119" s="127"/>
      <c r="H119" s="166"/>
      <c r="I119" s="166"/>
    </row>
    <row r="120" spans="2:9" ht="26.25" customHeight="1" x14ac:dyDescent="0.2">
      <c r="B120" s="60">
        <v>6</v>
      </c>
      <c r="C120" s="45" t="str">
        <f>IF($J$10=TRUE,"Are there procedures for product traceability?","Existem procedimentos para rastreabilidade de produtos?")</f>
        <v>Are there procedures for product traceability?</v>
      </c>
      <c r="D120" s="127"/>
      <c r="E120" s="127"/>
      <c r="F120" s="127"/>
      <c r="G120" s="127"/>
      <c r="H120" s="166"/>
      <c r="I120" s="166"/>
    </row>
    <row r="121" spans="2:9" ht="3.75" customHeight="1" x14ac:dyDescent="0.2">
      <c r="B121" s="89"/>
      <c r="C121" s="63"/>
      <c r="H121" s="48"/>
      <c r="I121" s="90"/>
    </row>
    <row r="122" spans="2:9" ht="17.25" customHeight="1" x14ac:dyDescent="0.2">
      <c r="B122" s="167" t="str">
        <f>IF($J$10=TRUE,"STORAGE","ARMAZENAGEM")</f>
        <v>STORAGE</v>
      </c>
      <c r="C122" s="168"/>
      <c r="D122" s="168"/>
      <c r="E122" s="168"/>
      <c r="F122" s="168"/>
      <c r="G122" s="168"/>
      <c r="H122" s="168"/>
      <c r="I122" s="169"/>
    </row>
    <row r="123" spans="2:9" ht="34.5" customHeight="1" x14ac:dyDescent="0.2">
      <c r="B123" s="170" t="str">
        <f>IF($J$10=TRUE,"Items (Answer the question with an X. If the answer is NA, please justify the answer at the Observation field.","Itens (Selecione a resposta com X) / Se NA, justificar em Observações")</f>
        <v>Items (Answer the question with an X. If the answer is NA, please justify the answer at the Observation field.</v>
      </c>
      <c r="C123" s="171"/>
      <c r="D123" s="114" t="str">
        <f>IF($J$10=TRUE,"Yes","Sim")</f>
        <v>Yes</v>
      </c>
      <c r="E123" s="114" t="str">
        <f>IF($J$10=TRUE,"No","Não")</f>
        <v>No</v>
      </c>
      <c r="F123" s="114" t="str">
        <f>IF($J$10=TRUE,"In progress","Em andamento")</f>
        <v>In progress</v>
      </c>
      <c r="G123" s="113" t="str">
        <f>IF($J$10=TRUE,"NA (not applicable)","NA")</f>
        <v>NA (not applicable)</v>
      </c>
      <c r="H123" s="172" t="str">
        <f>IF($J$10=TRUE,"Observation","Observações")</f>
        <v>Observation</v>
      </c>
      <c r="I123" s="173"/>
    </row>
    <row r="124" spans="2:9" ht="51.75" customHeight="1" x14ac:dyDescent="0.2">
      <c r="B124" s="60">
        <v>7</v>
      </c>
      <c r="C124" s="45" t="str">
        <f>IF($J$10=TRUE,"Are products that require specific storage conditions stored properly? Are these conditions monitored?","Os produtos que necessitam de condições especifica de estocagem estão armazenados adequadamente? Estas condições são monitoradas?")</f>
        <v>Are products that require specific storage conditions stored properly? Are these conditions monitored?</v>
      </c>
      <c r="D124" s="127"/>
      <c r="E124" s="127"/>
      <c r="F124" s="127"/>
      <c r="G124" s="127"/>
      <c r="H124" s="166"/>
      <c r="I124" s="166"/>
    </row>
    <row r="125" spans="2:9" ht="39.75" customHeight="1" x14ac:dyDescent="0.2">
      <c r="B125" s="60">
        <v>8</v>
      </c>
      <c r="C125" s="45" t="str">
        <f>IF($J$10=TRUE,"Are there suitable places (covered, closed, with good ventilation) to store the product?","Existem locais adequados (cobertos, fechados, com boa ventilação) para armazenamento do produto?")</f>
        <v>Are there suitable places (covered, closed, with good ventilation) to store the product?</v>
      </c>
      <c r="D125" s="127"/>
      <c r="E125" s="127"/>
      <c r="F125" s="127"/>
      <c r="G125" s="127"/>
      <c r="H125" s="166"/>
      <c r="I125" s="166"/>
    </row>
    <row r="126" spans="2:9" ht="51" customHeight="1" x14ac:dyDescent="0.2">
      <c r="B126" s="60">
        <v>9</v>
      </c>
      <c r="C126" s="45" t="str">
        <f>IF($J$10=TRUE,"Is the supplied material stored in a separate location from non-food products, such as chemicals, etc.?","O material fornecido é armazenado em local separado de produtos não alimeticios, como quimicos, produto quimicos, etc?")</f>
        <v>Is the supplied material stored in a separate location from non-food products, such as chemicals, etc.?</v>
      </c>
      <c r="D126" s="127"/>
      <c r="E126" s="127"/>
      <c r="F126" s="127"/>
      <c r="G126" s="127"/>
      <c r="H126" s="166"/>
      <c r="I126" s="166"/>
    </row>
    <row r="127" spans="2:9" ht="49.5" customHeight="1" x14ac:dyDescent="0.2">
      <c r="B127" s="60">
        <v>10</v>
      </c>
      <c r="C127" s="45" t="str">
        <f>IF($J$10=TRUE,"Are adequate hygiene, handling and organization conditions maintained in the areas? Is there cross-contamination control?","São mantidas as condições adequadas de higiene, manipulação e organização nas áreas? Existe controle de contaminação cruzada?")</f>
        <v>Are adequate hygiene, handling and organization conditions maintained in the areas? Is there cross-contamination control?</v>
      </c>
      <c r="D127" s="127"/>
      <c r="E127" s="127"/>
      <c r="F127" s="127"/>
      <c r="G127" s="127"/>
      <c r="H127" s="166"/>
      <c r="I127" s="166"/>
    </row>
    <row r="128" spans="2:9" x14ac:dyDescent="0.2">
      <c r="B128" s="89"/>
      <c r="C128" s="63"/>
      <c r="H128" s="48"/>
      <c r="I128" s="90"/>
    </row>
    <row r="129" spans="2:12" ht="17.25" customHeight="1" x14ac:dyDescent="0.2">
      <c r="B129" s="167" t="str">
        <f>IF($J$10=TRUE,"PRODUCT RECEIPT AND DISPATCH CONTROL","CONTROLE DE RECEBIMENTO E EXPEDIÇÃO DE PRODUTOS")</f>
        <v>PRODUCT RECEIPT AND DISPATCH CONTROL</v>
      </c>
      <c r="C129" s="168"/>
      <c r="D129" s="168"/>
      <c r="E129" s="168"/>
      <c r="F129" s="168"/>
      <c r="G129" s="168"/>
      <c r="H129" s="168"/>
      <c r="I129" s="169"/>
    </row>
    <row r="130" spans="2:12" ht="38.25" customHeight="1" x14ac:dyDescent="0.2">
      <c r="B130" s="170" t="str">
        <f>IF($J$10=TRUE,"Items (Answer the question with an X. If the answer is NA, please justify the answer at the Observation field.","Itens (Selecione a resposta com X) / Se NA, justificar em Observações")</f>
        <v>Items (Answer the question with an X. If the answer is NA, please justify the answer at the Observation field.</v>
      </c>
      <c r="C130" s="171"/>
      <c r="D130" s="114" t="str">
        <f>IF($J$10=TRUE,"Yes","Sim")</f>
        <v>Yes</v>
      </c>
      <c r="E130" s="114" t="str">
        <f>IF($J$10=TRUE,"No","Não")</f>
        <v>No</v>
      </c>
      <c r="F130" s="114" t="str">
        <f>IF($J$10=TRUE,"In progress","Em andamento")</f>
        <v>In progress</v>
      </c>
      <c r="G130" s="113" t="str">
        <f>IF($J$10=TRUE,"NA (not applicable)","NA")</f>
        <v>NA (not applicable)</v>
      </c>
      <c r="H130" s="172" t="str">
        <f>IF($J$10=TRUE,"Observation","Observações")</f>
        <v>Observation</v>
      </c>
      <c r="I130" s="173"/>
    </row>
    <row r="131" spans="2:12" ht="45" customHeight="1" x14ac:dyDescent="0.2">
      <c r="B131" s="60">
        <v>11</v>
      </c>
      <c r="C131" s="45" t="str">
        <f>IF($J$10=TRUE,"Is there a system and control for product withdrawal (PEPS/FIFO/FEFO)?","Existe uma sistemática e controle de retirada dos produtos (PEPS/FIFO/FEFO)?")</f>
        <v>Is there a system and control for product withdrawal (PEPS/FIFO/FEFO)?</v>
      </c>
      <c r="D131" s="127"/>
      <c r="E131" s="127"/>
      <c r="F131" s="127"/>
      <c r="G131" s="127"/>
      <c r="H131" s="166"/>
      <c r="I131" s="166"/>
    </row>
    <row r="132" spans="2:12" ht="52.5" customHeight="1" x14ac:dyDescent="0.2">
      <c r="B132" s="60">
        <v>12</v>
      </c>
      <c r="C132" s="45" t="str">
        <f>IF($J$10=TRUE,"Is there a system for inspecting vehicles before loading and dealing with deviations?","Existem sistemática de inspeção dos veiculos antes de realizar o carregamento e tratativas no caso de desvios?")</f>
        <v>Is there a system for inspecting vehicles before loading and dealing with deviations?</v>
      </c>
      <c r="D132" s="127"/>
      <c r="E132" s="127"/>
      <c r="F132" s="127"/>
      <c r="G132" s="127"/>
      <c r="H132" s="166"/>
      <c r="I132" s="166"/>
    </row>
    <row r="133" spans="2:12" x14ac:dyDescent="0.2">
      <c r="B133" s="89"/>
      <c r="C133" s="63"/>
      <c r="H133" s="48"/>
      <c r="I133" s="90"/>
    </row>
    <row r="134" spans="2:12" ht="15.75" x14ac:dyDescent="0.2">
      <c r="B134" s="167" t="str">
        <f>IF($J$10=TRUE,"EMPLOYEES","COLABORADORES")</f>
        <v>EMPLOYEES</v>
      </c>
      <c r="C134" s="168"/>
      <c r="D134" s="168"/>
      <c r="E134" s="168"/>
      <c r="F134" s="168"/>
      <c r="G134" s="168"/>
      <c r="H134" s="168"/>
      <c r="I134" s="169"/>
      <c r="L134" s="10"/>
    </row>
    <row r="135" spans="2:12" ht="25.5" customHeight="1" x14ac:dyDescent="0.2">
      <c r="B135" s="170" t="str">
        <f>IF($J$10=TRUE,"Items (Answer the question with an X. If the answer is NA, please justify the answer at the Observation field.","Itens (Selecione a resposta com X) / Se NA, justificar em Observações")</f>
        <v>Items (Answer the question with an X. If the answer is NA, please justify the answer at the Observation field.</v>
      </c>
      <c r="C135" s="171"/>
      <c r="D135" s="114" t="str">
        <f>IF($J$10=TRUE,"Yes","Sim")</f>
        <v>Yes</v>
      </c>
      <c r="E135" s="114" t="str">
        <f>IF($J$10=TRUE,"No","Não")</f>
        <v>No</v>
      </c>
      <c r="F135" s="114" t="str">
        <f>IF($J$10=TRUE,"In progress","Em andamento")</f>
        <v>In progress</v>
      </c>
      <c r="G135" s="113" t="str">
        <f>IF($J$10=TRUE,"NA (not applicable)","NA")</f>
        <v>NA (not applicable)</v>
      </c>
      <c r="H135" s="172" t="str">
        <f>IF($J$10=TRUE,"Observation","Observações")</f>
        <v>Observation</v>
      </c>
      <c r="I135" s="173"/>
    </row>
    <row r="136" spans="2:12" x14ac:dyDescent="0.2">
      <c r="B136" s="60">
        <v>13</v>
      </c>
      <c r="C136" s="45" t="str">
        <f>IF($J$10=TRUE,"Are employees trained in GMP?","Os colaboradores são treianados em BPF?")</f>
        <v>Are employees trained in GMP?</v>
      </c>
      <c r="D136" s="127"/>
      <c r="E136" s="127"/>
      <c r="F136" s="127"/>
      <c r="G136" s="127"/>
      <c r="H136" s="166"/>
      <c r="I136" s="166"/>
      <c r="L136" s="10"/>
    </row>
    <row r="138" spans="2:12" ht="26.25" customHeight="1" x14ac:dyDescent="0.2">
      <c r="B138" s="177" t="str">
        <f>IF($J$10=TRUE,"I declare that all information is true and that any changes in the manufacturing process, specification, or any other changes that impact the quality and/or traceability of the product supplied will be duly communicated to ICC Brazil.","Declaro que todas as informações são verídicas e que qualquer alteração no processo de fabricação, especificação, ou quaisquer outras mudanças que impactem na qualidade e/ou rastreabilidade do produto fornecido serão devidamente comunicados a ICC Brazil.")</f>
        <v>I declare that all information is true and that any changes in the manufacturing process, specification, or any other changes that impact the quality and/or traceability of the product supplied will be duly communicated to ICC Brazil.</v>
      </c>
      <c r="C138" s="177"/>
      <c r="D138" s="177"/>
      <c r="E138" s="177"/>
      <c r="F138" s="177"/>
      <c r="G138" s="177"/>
      <c r="H138" s="177"/>
      <c r="I138" s="177"/>
    </row>
    <row r="140" spans="2:12" ht="21" customHeight="1" x14ac:dyDescent="0.2">
      <c r="C140" s="65" t="str">
        <f>IF($J$10=TRUE,"Responsible for completing:","Responsável pelo preenchimento:")</f>
        <v>Responsible for completing:</v>
      </c>
      <c r="D140" s="166"/>
      <c r="E140" s="166"/>
      <c r="F140" s="166"/>
      <c r="G140" s="166"/>
      <c r="H140" s="166"/>
    </row>
    <row r="141" spans="2:12" ht="21" customHeight="1" x14ac:dyDescent="0.2">
      <c r="C141" s="65" t="str">
        <f>IF($J$10=TRUE,"Job Title:","Cargo:")</f>
        <v>Job Title:</v>
      </c>
      <c r="D141" s="166"/>
      <c r="E141" s="166"/>
      <c r="F141" s="166"/>
      <c r="G141" s="166"/>
      <c r="H141" s="166"/>
    </row>
    <row r="142" spans="2:12" ht="21" customHeight="1" x14ac:dyDescent="0.2">
      <c r="C142" s="65" t="str">
        <f>IF($J$10=TRUE,"Date:","Data:")</f>
        <v>Date:</v>
      </c>
      <c r="D142" s="166"/>
      <c r="E142" s="166"/>
      <c r="F142" s="166"/>
      <c r="G142" s="166"/>
      <c r="H142" s="166"/>
    </row>
    <row r="146" spans="3:8" x14ac:dyDescent="0.2">
      <c r="C146" s="181"/>
      <c r="D146" s="181"/>
      <c r="E146" s="181"/>
      <c r="F146" s="181"/>
      <c r="G146" s="181"/>
      <c r="H146" s="181"/>
    </row>
    <row r="147" spans="3:8" x14ac:dyDescent="0.2">
      <c r="C147" s="175" t="str">
        <f>IF($J$10=TRUE,"Signature","Assinatura")</f>
        <v>Signature</v>
      </c>
      <c r="D147" s="176"/>
      <c r="E147" s="176"/>
      <c r="F147" s="176"/>
      <c r="G147" s="176"/>
      <c r="H147" s="176"/>
    </row>
  </sheetData>
  <sheetProtection algorithmName="SHA-512" hashValue="3tQrACTDLoNlLlvLhPFzPAxDd8jqVTpVdKIbg286rC0NaKtwVtoDefpDdp0e44QLpXo5FRHQnJAxw/p+bX2Akg==" saltValue="7BAibi9VvV5kmOciKCuYFA==" spinCount="100000" sheet="1"/>
  <mergeCells count="156">
    <mergeCell ref="H82:I82"/>
    <mergeCell ref="H83:I83"/>
    <mergeCell ref="H68:I68"/>
    <mergeCell ref="F37:H37"/>
    <mergeCell ref="F38:H38"/>
    <mergeCell ref="F39:H39"/>
    <mergeCell ref="F40:H40"/>
    <mergeCell ref="F41:H41"/>
    <mergeCell ref="F42:H42"/>
    <mergeCell ref="G48:J48"/>
    <mergeCell ref="H71:I71"/>
    <mergeCell ref="H81:I81"/>
    <mergeCell ref="J1:J2"/>
    <mergeCell ref="J3:J4"/>
    <mergeCell ref="H56:I56"/>
    <mergeCell ref="B53:I53"/>
    <mergeCell ref="H55:I55"/>
    <mergeCell ref="D46:G46"/>
    <mergeCell ref="A1:B4"/>
    <mergeCell ref="C1:I4"/>
    <mergeCell ref="C11:H11"/>
    <mergeCell ref="C12:H12"/>
    <mergeCell ref="C13:H13"/>
    <mergeCell ref="B5:H5"/>
    <mergeCell ref="E6:F6"/>
    <mergeCell ref="C14:H14"/>
    <mergeCell ref="F24:H24"/>
    <mergeCell ref="B52:I52"/>
    <mergeCell ref="D16:H16"/>
    <mergeCell ref="B16:C16"/>
    <mergeCell ref="D33:E33"/>
    <mergeCell ref="D34:E34"/>
    <mergeCell ref="D38:E38"/>
    <mergeCell ref="D39:E39"/>
    <mergeCell ref="D40:E40"/>
    <mergeCell ref="D41:E41"/>
    <mergeCell ref="B15:C15"/>
    <mergeCell ref="B17:C17"/>
    <mergeCell ref="C22:H22"/>
    <mergeCell ref="D23:E23"/>
    <mergeCell ref="D24:E24"/>
    <mergeCell ref="D25:E25"/>
    <mergeCell ref="D26:E26"/>
    <mergeCell ref="D27:E27"/>
    <mergeCell ref="D28:E28"/>
    <mergeCell ref="D15:H15"/>
    <mergeCell ref="D17:H17"/>
    <mergeCell ref="F23:H23"/>
    <mergeCell ref="F27:H27"/>
    <mergeCell ref="F28:H28"/>
    <mergeCell ref="B138:I138"/>
    <mergeCell ref="D29:E29"/>
    <mergeCell ref="D30:E30"/>
    <mergeCell ref="F25:H25"/>
    <mergeCell ref="F26:H26"/>
    <mergeCell ref="D31:E31"/>
    <mergeCell ref="D32:E32"/>
    <mergeCell ref="B54:C54"/>
    <mergeCell ref="B51:I51"/>
    <mergeCell ref="D45:G45"/>
    <mergeCell ref="D35:E35"/>
    <mergeCell ref="D42:E42"/>
    <mergeCell ref="D36:E36"/>
    <mergeCell ref="D37:E37"/>
    <mergeCell ref="H84:I84"/>
    <mergeCell ref="H92:I92"/>
    <mergeCell ref="F29:H29"/>
    <mergeCell ref="F30:H30"/>
    <mergeCell ref="F31:H31"/>
    <mergeCell ref="F32:H32"/>
    <mergeCell ref="F33:H33"/>
    <mergeCell ref="F34:H34"/>
    <mergeCell ref="F35:H35"/>
    <mergeCell ref="F36:H36"/>
    <mergeCell ref="H54:I54"/>
    <mergeCell ref="H63:I63"/>
    <mergeCell ref="H66:I66"/>
    <mergeCell ref="H60:I60"/>
    <mergeCell ref="H61:I61"/>
    <mergeCell ref="H131:I131"/>
    <mergeCell ref="C147:H147"/>
    <mergeCell ref="D140:H140"/>
    <mergeCell ref="D141:H141"/>
    <mergeCell ref="D142:H142"/>
    <mergeCell ref="C146:H146"/>
    <mergeCell ref="B122:I122"/>
    <mergeCell ref="H132:I132"/>
    <mergeCell ref="H136:I136"/>
    <mergeCell ref="B134:I134"/>
    <mergeCell ref="H126:I126"/>
    <mergeCell ref="H127:I127"/>
    <mergeCell ref="B135:C135"/>
    <mergeCell ref="H135:I135"/>
    <mergeCell ref="B129:I129"/>
    <mergeCell ref="B130:C130"/>
    <mergeCell ref="H130:I130"/>
    <mergeCell ref="H124:I124"/>
    <mergeCell ref="H125:I125"/>
    <mergeCell ref="H67:I67"/>
    <mergeCell ref="H57:I57"/>
    <mergeCell ref="H58:I58"/>
    <mergeCell ref="H69:I69"/>
    <mergeCell ref="B74:I74"/>
    <mergeCell ref="B75:C75"/>
    <mergeCell ref="H78:I78"/>
    <mergeCell ref="H79:I79"/>
    <mergeCell ref="H80:I80"/>
    <mergeCell ref="H75:I75"/>
    <mergeCell ref="H76:I76"/>
    <mergeCell ref="H77:I77"/>
    <mergeCell ref="H70:I70"/>
    <mergeCell ref="H72:I72"/>
    <mergeCell ref="H73:I73"/>
    <mergeCell ref="B59:I59"/>
    <mergeCell ref="B60:C60"/>
    <mergeCell ref="H62:I62"/>
    <mergeCell ref="B64:I64"/>
    <mergeCell ref="B65:C65"/>
    <mergeCell ref="H65:I65"/>
    <mergeCell ref="H85:I85"/>
    <mergeCell ref="H87:I87"/>
    <mergeCell ref="H88:I88"/>
    <mergeCell ref="H99:I99"/>
    <mergeCell ref="B103:I103"/>
    <mergeCell ref="H89:I89"/>
    <mergeCell ref="H90:I90"/>
    <mergeCell ref="H91:I91"/>
    <mergeCell ref="H95:I95"/>
    <mergeCell ref="H101:I101"/>
    <mergeCell ref="H86:I86"/>
    <mergeCell ref="H97:I97"/>
    <mergeCell ref="H98:I98"/>
    <mergeCell ref="H93:I93"/>
    <mergeCell ref="H94:I94"/>
    <mergeCell ref="H116:I116"/>
    <mergeCell ref="H96:I96"/>
    <mergeCell ref="B104:C104"/>
    <mergeCell ref="H102:I102"/>
    <mergeCell ref="B123:C123"/>
    <mergeCell ref="H123:I123"/>
    <mergeCell ref="H118:I118"/>
    <mergeCell ref="H100:I100"/>
    <mergeCell ref="H106:I106"/>
    <mergeCell ref="H107:I107"/>
    <mergeCell ref="H115:I115"/>
    <mergeCell ref="H119:I119"/>
    <mergeCell ref="H120:I120"/>
    <mergeCell ref="B111:I111"/>
    <mergeCell ref="B113:I113"/>
    <mergeCell ref="B114:C114"/>
    <mergeCell ref="H117:I117"/>
    <mergeCell ref="H114:I114"/>
    <mergeCell ref="H108:I108"/>
    <mergeCell ref="H109:I109"/>
    <mergeCell ref="H104:I104"/>
    <mergeCell ref="H105:I105"/>
  </mergeCells>
  <conditionalFormatting sqref="B63:I63">
    <cfRule type="cellIs" dxfId="2" priority="12" stopIfTrue="1" operator="equal">
      <formula>"CONTROLE DE PRAGAS"</formula>
    </cfRule>
  </conditionalFormatting>
  <conditionalFormatting sqref="B65:I68">
    <cfRule type="expression" dxfId="1" priority="4" stopIfTrue="1">
      <formula>$B$63&lt;&gt;""</formula>
    </cfRule>
  </conditionalFormatting>
  <conditionalFormatting sqref="C45:C46">
    <cfRule type="cellIs" dxfId="0" priority="13" stopIfTrue="1" operator="equal">
      <formula>"Obrigatório"</formula>
    </cfRule>
  </conditionalFormatting>
  <dataValidations count="1">
    <dataValidation type="list" allowBlank="1" showInputMessage="1" showErrorMessage="1" sqref="D24:E42">
      <formula1>"SIM/YES,NÃO/NO"</formula1>
    </dataValidation>
  </dataValidations>
  <pageMargins left="0.511811024" right="0.511811024" top="0.78740157499999996" bottom="0.78740157499999996" header="0.31496062000000002" footer="0.31496062000000002"/>
  <pageSetup paperSize="9" orientation="portrait" horizontalDpi="0"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32123" r:id="rId4" name="Check Box 1403">
              <controlPr locked="0" defaultSize="0" autoFill="0" autoLine="0" autoPict="0">
                <anchor moveWithCells="1">
                  <from>
                    <xdr:col>3</xdr:col>
                    <xdr:colOff>171450</xdr:colOff>
                    <xdr:row>4</xdr:row>
                    <xdr:rowOff>371475</xdr:rowOff>
                  </from>
                  <to>
                    <xdr:col>5</xdr:col>
                    <xdr:colOff>361950</xdr:colOff>
                    <xdr:row>6</xdr:row>
                    <xdr:rowOff>114300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17"/>
  <dimension ref="A1:J69"/>
  <sheetViews>
    <sheetView showGridLines="0" workbookViewId="0">
      <selection activeCell="K8" sqref="K8"/>
    </sheetView>
  </sheetViews>
  <sheetFormatPr defaultRowHeight="12.75" x14ac:dyDescent="0.2"/>
  <cols>
    <col min="1" max="1" width="4.5703125" customWidth="1"/>
    <col min="2" max="2" width="18.7109375" customWidth="1"/>
    <col min="3" max="3" width="40.42578125" style="82" customWidth="1"/>
    <col min="4" max="5" width="7.7109375" style="67" customWidth="1"/>
    <col min="6" max="6" width="20.7109375" customWidth="1"/>
    <col min="7" max="7" width="7.7109375" customWidth="1"/>
    <col min="8" max="8" width="20.7109375" customWidth="1"/>
    <col min="9" max="9" width="18.7109375" customWidth="1"/>
    <col min="10" max="10" width="15.28515625" customWidth="1"/>
  </cols>
  <sheetData>
    <row r="1" spans="1:10" ht="12.75" customHeight="1" x14ac:dyDescent="0.2">
      <c r="A1" s="195"/>
      <c r="B1" s="196"/>
      <c r="C1" s="193" t="s">
        <v>50</v>
      </c>
      <c r="D1" s="159"/>
      <c r="E1" s="159"/>
      <c r="F1" s="159"/>
      <c r="G1" s="159"/>
      <c r="H1" s="159"/>
      <c r="I1" s="160"/>
      <c r="J1" s="147" t="s">
        <v>42</v>
      </c>
    </row>
    <row r="2" spans="1:10" ht="12.75" customHeight="1" x14ac:dyDescent="0.2">
      <c r="A2" s="197"/>
      <c r="B2" s="198"/>
      <c r="C2" s="193"/>
      <c r="D2" s="159"/>
      <c r="E2" s="159"/>
      <c r="F2" s="159"/>
      <c r="G2" s="159"/>
      <c r="H2" s="159"/>
      <c r="I2" s="160"/>
      <c r="J2" s="148"/>
    </row>
    <row r="3" spans="1:10" ht="12.75" customHeight="1" x14ac:dyDescent="0.2">
      <c r="A3" s="197"/>
      <c r="B3" s="198"/>
      <c r="C3" s="193"/>
      <c r="D3" s="159"/>
      <c r="E3" s="159"/>
      <c r="F3" s="159"/>
      <c r="G3" s="159"/>
      <c r="H3" s="159"/>
      <c r="I3" s="160"/>
      <c r="J3" s="148" t="s">
        <v>80</v>
      </c>
    </row>
    <row r="4" spans="1:10" ht="13.5" customHeight="1" thickBot="1" x14ac:dyDescent="0.25">
      <c r="A4" s="199"/>
      <c r="B4" s="200"/>
      <c r="C4" s="194"/>
      <c r="D4" s="161"/>
      <c r="E4" s="161"/>
      <c r="F4" s="161"/>
      <c r="G4" s="161"/>
      <c r="H4" s="161"/>
      <c r="I4" s="162"/>
      <c r="J4" s="149"/>
    </row>
    <row r="5" spans="1:10" ht="30.75" customHeight="1" x14ac:dyDescent="0.2">
      <c r="B5" s="203" t="s">
        <v>43</v>
      </c>
      <c r="C5" s="203"/>
      <c r="D5" s="203"/>
      <c r="E5" s="203"/>
      <c r="F5" s="203"/>
      <c r="G5" s="203"/>
      <c r="H5" s="203"/>
    </row>
    <row r="6" spans="1:10" x14ac:dyDescent="0.2">
      <c r="B6" s="10"/>
      <c r="C6" s="18"/>
      <c r="D6" s="66"/>
      <c r="E6" s="214"/>
      <c r="F6" s="214"/>
    </row>
    <row r="7" spans="1:10" x14ac:dyDescent="0.2">
      <c r="B7" s="10"/>
      <c r="C7" s="77"/>
    </row>
    <row r="8" spans="1:10" ht="11.25" customHeight="1" x14ac:dyDescent="0.2">
      <c r="B8" s="19"/>
      <c r="C8" s="78"/>
      <c r="D8" s="69"/>
      <c r="E8" s="69"/>
      <c r="F8" s="21"/>
      <c r="G8" s="21"/>
      <c r="H8" s="21"/>
      <c r="I8" s="22"/>
    </row>
    <row r="9" spans="1:10" x14ac:dyDescent="0.2">
      <c r="B9" s="23"/>
      <c r="C9" s="77"/>
      <c r="I9" s="24"/>
    </row>
    <row r="10" spans="1:10" ht="18" customHeight="1" x14ac:dyDescent="0.25">
      <c r="B10" s="25" t="str">
        <f>IF($J$10=TRUE,"Corporate Name:","Razão Social:")</f>
        <v>Razão Social:</v>
      </c>
      <c r="C10" s="204"/>
      <c r="D10" s="204"/>
      <c r="E10" s="204"/>
      <c r="F10" s="204"/>
      <c r="G10" s="204"/>
      <c r="H10" s="204"/>
      <c r="I10" s="26"/>
      <c r="J10" s="128" t="b">
        <v>0</v>
      </c>
    </row>
    <row r="11" spans="1:10" ht="18" customHeight="1" x14ac:dyDescent="0.25">
      <c r="B11" s="25" t="str">
        <f>IF($J$10=TRUE,"Fantasy Name:","Nome Fantasia:")</f>
        <v>Nome Fantasia:</v>
      </c>
      <c r="C11" s="215"/>
      <c r="D11" s="215"/>
      <c r="E11" s="215"/>
      <c r="F11" s="215"/>
      <c r="G11" s="215"/>
      <c r="H11" s="215"/>
      <c r="I11" s="24"/>
    </row>
    <row r="12" spans="1:10" ht="18" customHeight="1" x14ac:dyDescent="0.25">
      <c r="B12" s="25" t="str">
        <f>IF($J$10=TRUE,"TIN:","CNPJ:")</f>
        <v>CNPJ:</v>
      </c>
      <c r="C12" s="215"/>
      <c r="D12" s="215"/>
      <c r="E12" s="215"/>
      <c r="F12" s="215"/>
      <c r="G12" s="215"/>
      <c r="H12" s="215"/>
      <c r="I12" s="26"/>
    </row>
    <row r="13" spans="1:10" ht="18" customHeight="1" x14ac:dyDescent="0.25">
      <c r="B13" s="25" t="str">
        <f>IF($J$10=TRUE,"Adress:","Endereço:")</f>
        <v>Endereço:</v>
      </c>
      <c r="C13" s="215"/>
      <c r="D13" s="215"/>
      <c r="E13" s="215"/>
      <c r="F13" s="215"/>
      <c r="G13" s="215"/>
      <c r="H13" s="215"/>
      <c r="I13" s="26"/>
    </row>
    <row r="14" spans="1:10" ht="18" customHeight="1" x14ac:dyDescent="0.2">
      <c r="B14" s="164" t="str">
        <f>IF($J$10=TRUE,"Product supplied to ICC Brazil:","Produto (s) fornecido (s) para a ICC:")</f>
        <v>Produto (s) fornecido (s) para a ICC:</v>
      </c>
      <c r="C14" s="165"/>
      <c r="D14" s="216"/>
      <c r="E14" s="216"/>
      <c r="F14" s="216"/>
      <c r="G14" s="216"/>
      <c r="H14" s="216"/>
      <c r="I14" s="24"/>
    </row>
    <row r="15" spans="1:10" ht="18" customHeight="1" x14ac:dyDescent="0.2">
      <c r="B15" s="164" t="str">
        <f>IF($J$10=TRUE,"CEO:","Responsável Técnico:")</f>
        <v>Responsável Técnico:</v>
      </c>
      <c r="C15" s="165"/>
      <c r="D15" s="216"/>
      <c r="E15" s="216"/>
      <c r="F15" s="216"/>
      <c r="G15" s="216"/>
      <c r="H15" s="216"/>
      <c r="I15" s="24"/>
    </row>
    <row r="16" spans="1:10" x14ac:dyDescent="0.2">
      <c r="B16" s="28"/>
      <c r="C16" s="79"/>
      <c r="D16" s="71"/>
      <c r="E16" s="71"/>
      <c r="F16" s="30"/>
      <c r="G16" s="30"/>
      <c r="H16" s="30"/>
      <c r="I16" s="31"/>
    </row>
    <row r="17" spans="2:10" x14ac:dyDescent="0.2">
      <c r="B17" s="16"/>
      <c r="C17" s="80"/>
    </row>
    <row r="18" spans="2:10" x14ac:dyDescent="0.2">
      <c r="B18" s="16"/>
      <c r="C18" s="80"/>
    </row>
    <row r="19" spans="2:10" x14ac:dyDescent="0.2">
      <c r="B19" s="33"/>
      <c r="C19" s="81"/>
      <c r="D19" s="69"/>
      <c r="E19" s="69"/>
      <c r="F19" s="21"/>
      <c r="G19" s="21"/>
      <c r="H19" s="21"/>
      <c r="I19" s="22"/>
    </row>
    <row r="20" spans="2:10" x14ac:dyDescent="0.2">
      <c r="B20" s="35"/>
      <c r="C20" s="205" t="str">
        <f>IF($J$10=TRUE,"Please select the submitted documents below","Selecione abaixo os documentos enviados.")</f>
        <v>Selecione abaixo os documentos enviados.</v>
      </c>
      <c r="D20" s="205"/>
      <c r="E20" s="205"/>
      <c r="F20" s="205"/>
      <c r="G20" s="205"/>
      <c r="H20" s="205"/>
      <c r="I20" s="24"/>
    </row>
    <row r="21" spans="2:10" x14ac:dyDescent="0.2">
      <c r="B21" s="35"/>
      <c r="C21" s="44" t="str">
        <f>IF($J$10=TRUE,"REQUIREMENT","REQUISITO")</f>
        <v>REQUISITO</v>
      </c>
      <c r="D21" s="206" t="str">
        <f>IF($J$10=TRUE,"SENT","ENVIADO")</f>
        <v>ENVIADO</v>
      </c>
      <c r="E21" s="206"/>
      <c r="F21" s="187" t="str">
        <f>IF($J$10=TRUE,"DOCUMENTS","DOCUMENTOS")</f>
        <v>DOCUMENTOS</v>
      </c>
      <c r="G21" s="188"/>
      <c r="H21" s="189"/>
      <c r="I21" s="24"/>
    </row>
    <row r="22" spans="2:10" x14ac:dyDescent="0.2">
      <c r="B22" s="35"/>
      <c r="C22" s="47" t="str">
        <f t="shared" ref="C22:C28" si="0">IF($J$10=TRUE,"Mandatory","Obrigatório")</f>
        <v>Obrigatório</v>
      </c>
      <c r="D22" s="201"/>
      <c r="E22" s="201"/>
      <c r="F22" s="217" t="str">
        <f>IF($J$10=TRUE,"Government-issued operating license","Alvará da Prefeitura")</f>
        <v>Alvará da Prefeitura</v>
      </c>
      <c r="G22" s="218"/>
      <c r="H22" s="219"/>
      <c r="I22" s="24"/>
    </row>
    <row r="23" spans="2:10" ht="12.75" customHeight="1" x14ac:dyDescent="0.2">
      <c r="B23" s="36"/>
      <c r="C23" s="47" t="str">
        <f t="shared" si="0"/>
        <v>Obrigatório</v>
      </c>
      <c r="D23" s="201"/>
      <c r="E23" s="201"/>
      <c r="F23" s="217" t="str">
        <f>IF($J$10=TRUE,"License issued by the environmental agency","Licença de Operação ou Dispensa do órgão ambiental estadual")</f>
        <v>Licença de Operação ou Dispensa do órgão ambiental estadual</v>
      </c>
      <c r="G23" s="218"/>
      <c r="H23" s="219"/>
      <c r="I23" s="24"/>
    </row>
    <row r="24" spans="2:10" x14ac:dyDescent="0.2">
      <c r="B24" s="36"/>
      <c r="C24" s="47" t="str">
        <f t="shared" si="0"/>
        <v>Obrigatório</v>
      </c>
      <c r="D24" s="201"/>
      <c r="E24" s="201"/>
      <c r="F24" s="217" t="str">
        <f>IF($J$10=TRUE,"License issued by the health agency","Licença da Vigilância Sanitária")</f>
        <v>Licença da Vigilância Sanitária</v>
      </c>
      <c r="G24" s="218"/>
      <c r="H24" s="219"/>
      <c r="I24" s="24"/>
    </row>
    <row r="25" spans="2:10" x14ac:dyDescent="0.2">
      <c r="B25" s="36"/>
      <c r="C25" s="47" t="str">
        <f t="shared" si="0"/>
        <v>Obrigatório</v>
      </c>
      <c r="D25" s="201"/>
      <c r="E25" s="201"/>
      <c r="F25" s="217" t="str">
        <f>IF($J$10=TRUE,"Declaration of technical responsibility of CEO","Anotação do Responsável Técnico (ART)")</f>
        <v>Anotação do Responsável Técnico (ART)</v>
      </c>
      <c r="G25" s="218"/>
      <c r="H25" s="219"/>
      <c r="I25" s="24"/>
    </row>
    <row r="26" spans="2:10" ht="12.75" customHeight="1" x14ac:dyDescent="0.2">
      <c r="B26" s="36"/>
      <c r="C26" s="47" t="str">
        <f t="shared" si="0"/>
        <v>Obrigatório</v>
      </c>
      <c r="D26" s="201"/>
      <c r="E26" s="201"/>
      <c r="F26" s="217" t="str">
        <f>IF($J$10=TRUE,"Technical Specification Sheet (TS)","Ficha de Especificações Técnicas")</f>
        <v>Ficha de Especificações Técnicas</v>
      </c>
      <c r="G26" s="218"/>
      <c r="H26" s="219"/>
      <c r="I26" s="24"/>
    </row>
    <row r="27" spans="2:10" x14ac:dyDescent="0.2">
      <c r="B27" s="37"/>
      <c r="C27" s="47" t="str">
        <f t="shared" si="0"/>
        <v>Obrigatório</v>
      </c>
      <c r="D27" s="201"/>
      <c r="E27" s="201"/>
      <c r="F27" s="217" t="str">
        <f>IF($J$10=TRUE,"Material Safety Data Sheet (MSDS)","FISPQ")</f>
        <v>FISPQ</v>
      </c>
      <c r="G27" s="218"/>
      <c r="H27" s="219"/>
      <c r="I27" s="38"/>
      <c r="J27" s="32"/>
    </row>
    <row r="28" spans="2:10" x14ac:dyDescent="0.2">
      <c r="B28" s="37"/>
      <c r="C28" s="47" t="str">
        <f t="shared" si="0"/>
        <v>Obrigatório</v>
      </c>
      <c r="D28" s="201"/>
      <c r="E28" s="201"/>
      <c r="F28" s="217" t="str">
        <f>IF($J$10=TRUE,"Fire department license, if applicable","Auto de Vistoria do Corpo de Bombeiros (AVCB)")</f>
        <v>Auto de Vistoria do Corpo de Bombeiros (AVCB)</v>
      </c>
      <c r="G28" s="218"/>
      <c r="H28" s="219"/>
      <c r="I28" s="38"/>
      <c r="J28" s="32"/>
    </row>
    <row r="29" spans="2:10" ht="12.75" customHeight="1" x14ac:dyDescent="0.2">
      <c r="B29" s="37"/>
      <c r="C29" s="47" t="str">
        <f>IF($J$10=TRUE,"","Obrigatório")</f>
        <v>Obrigatório</v>
      </c>
      <c r="D29" s="201"/>
      <c r="E29" s="201"/>
      <c r="F29" s="217" t="str">
        <f>IF($J$10=TRUE,"","Licença IBAMA")</f>
        <v>Licença IBAMA</v>
      </c>
      <c r="G29" s="218"/>
      <c r="H29" s="219"/>
      <c r="I29" s="38"/>
      <c r="J29" s="32"/>
    </row>
    <row r="30" spans="2:10" ht="12.75" customHeight="1" x14ac:dyDescent="0.2">
      <c r="B30" s="37"/>
      <c r="C30" s="47" t="str">
        <f>IF($J$10=TRUE,"","Obrigatório")</f>
        <v>Obrigatório</v>
      </c>
      <c r="D30" s="201"/>
      <c r="E30" s="201"/>
      <c r="F30" s="217" t="str">
        <f>IF($J$10=TRUE,"","Licença da Polícia Federal (Se aplicável)")</f>
        <v>Licença da Polícia Federal (Se aplicável)</v>
      </c>
      <c r="G30" s="218"/>
      <c r="H30" s="219"/>
      <c r="I30" s="38"/>
      <c r="J30" s="32"/>
    </row>
    <row r="31" spans="2:10" ht="12.75" customHeight="1" x14ac:dyDescent="0.2">
      <c r="B31" s="36"/>
      <c r="C31" s="47" t="str">
        <f>IF($J$10=TRUE,"","Obrigatório")</f>
        <v>Obrigatório</v>
      </c>
      <c r="D31" s="201"/>
      <c r="E31" s="201"/>
      <c r="F31" s="217" t="str">
        <f>IF($J$10=TRUE,"","Licença e Certificado de Vistoria da Polícia Civil (Se aplicável)")</f>
        <v>Licença e Certificado de Vistoria da Polícia Civil (Se aplicável)</v>
      </c>
      <c r="G31" s="218"/>
      <c r="H31" s="219"/>
      <c r="I31" s="24"/>
    </row>
    <row r="32" spans="2:10" ht="24" customHeight="1" x14ac:dyDescent="0.2">
      <c r="B32" s="36"/>
      <c r="C32" s="46" t="str">
        <f>IF($J$10=TRUE,"Differencial","Diferencial")</f>
        <v>Diferencial</v>
      </c>
      <c r="D32" s="201"/>
      <c r="E32" s="201"/>
      <c r="F32" s="217" t="str">
        <f>IF($J$10=TRUE,"Food Safety Certificates (e.g., GMP+FSA, FSSC 22000, FAMI QS, BRC...)","Certificados de Segurança Alimentar (por exemplo, GMP+FSA, FSSC 22000, FAMI QS, BRC...)")</f>
        <v>Certificados de Segurança Alimentar (por exemplo, GMP+FSA, FSSC 22000, FAMI QS, BRC...)</v>
      </c>
      <c r="G32" s="218"/>
      <c r="H32" s="219"/>
      <c r="I32" s="24"/>
    </row>
    <row r="33" spans="2:10" ht="24" customHeight="1" x14ac:dyDescent="0.2">
      <c r="B33" s="36"/>
      <c r="C33" s="46" t="str">
        <f>IF($J$10=TRUE,"Differencial","Diferencial")</f>
        <v>Diferencial</v>
      </c>
      <c r="D33" s="201"/>
      <c r="E33" s="201"/>
      <c r="F33" s="217" t="str">
        <f>IF($J$10=TRUE,"Certificate of ISO 14001 or similar or Environmental Responsibility Policy signed by the legal representative","Certificado de ISO 14001 ou similar ou Política de Responsabilidade Ambiental assinada pelo representante legal")</f>
        <v>Certificado de ISO 14001 ou similar ou Política de Responsabilidade Ambiental assinada pelo representante legal</v>
      </c>
      <c r="G33" s="218"/>
      <c r="H33" s="219"/>
      <c r="I33" s="24"/>
    </row>
    <row r="34" spans="2:10" x14ac:dyDescent="0.2">
      <c r="B34" s="39"/>
      <c r="C34" s="84"/>
      <c r="D34" s="71"/>
      <c r="E34" s="71"/>
      <c r="F34" s="30"/>
      <c r="G34" s="30"/>
      <c r="H34" s="30"/>
      <c r="I34" s="31"/>
    </row>
    <row r="36" spans="2:10" x14ac:dyDescent="0.2">
      <c r="D36" s="154"/>
      <c r="E36" s="154"/>
      <c r="F36" s="154"/>
      <c r="G36" s="154"/>
      <c r="H36" s="154"/>
      <c r="I36" s="154"/>
      <c r="J36" s="139"/>
    </row>
    <row r="37" spans="2:10" x14ac:dyDescent="0.2">
      <c r="B37" s="41"/>
      <c r="C37" s="83"/>
      <c r="D37" s="75"/>
      <c r="E37" s="75"/>
      <c r="F37" s="42"/>
      <c r="G37" s="42"/>
      <c r="H37" s="42"/>
      <c r="I37" s="43"/>
      <c r="J37" s="40"/>
    </row>
    <row r="38" spans="2:10" x14ac:dyDescent="0.2">
      <c r="B38" s="36"/>
      <c r="I38" s="24"/>
    </row>
    <row r="39" spans="2:10" x14ac:dyDescent="0.2">
      <c r="B39" s="183" t="str">
        <f>IF($J$10=TRUE,"Read each statement and mark with an X in the column according to the company's service in the item.","Por favor, leia cada enunciado e assinale com um X na coluna correspondente ao atendimento da empresa para o respectivo item.")</f>
        <v>Por favor, leia cada enunciado e assinale com um X na coluna correspondente ao atendimento da empresa para o respectivo item.</v>
      </c>
      <c r="C39" s="184"/>
      <c r="D39" s="184"/>
      <c r="E39" s="184"/>
      <c r="F39" s="184"/>
      <c r="G39" s="184"/>
      <c r="H39" s="184"/>
      <c r="I39" s="185"/>
    </row>
    <row r="40" spans="2:10" ht="15.75" x14ac:dyDescent="0.2">
      <c r="B40" s="167" t="str">
        <f>IF($J$10=TRUE,"QUALITY AND FOOD SAFETY MANAGEMENT SYSTEM","SISTEMA DE GESTÃO DA QUALIDADE E SEGURANÇA DE ALIMENTOS")</f>
        <v>SISTEMA DE GESTÃO DA QUALIDADE E SEGURANÇA DE ALIMENTOS</v>
      </c>
      <c r="C40" s="168"/>
      <c r="D40" s="168"/>
      <c r="E40" s="168"/>
      <c r="F40" s="168"/>
      <c r="G40" s="168"/>
      <c r="H40" s="168"/>
      <c r="I40" s="169"/>
    </row>
    <row r="41" spans="2:10" ht="27" customHeight="1" x14ac:dyDescent="0.2">
      <c r="B41" s="170" t="str">
        <f>IF($J$10=TRUE,"Items (Answer the question with an X. If the answer is NA, please justify the answer at the Observation field.","Itens (Selecione a resposta com X) / Se NA, justificar em Observações")</f>
        <v>Itens (Selecione a resposta com X) / Se NA, justificar em Observações</v>
      </c>
      <c r="C41" s="171"/>
      <c r="D41" s="114" t="str">
        <f>IF($J$10=TRUE,"Yes","Sim")</f>
        <v>Sim</v>
      </c>
      <c r="E41" s="114" t="str">
        <f>IF($J$10=TRUE,"No","Não")</f>
        <v>Não</v>
      </c>
      <c r="F41" s="114" t="str">
        <f>IF($J$10=TRUE,"In progress","Em andamento")</f>
        <v>Em andamento</v>
      </c>
      <c r="G41" s="113" t="str">
        <f>IF($J$10=TRUE,"NA (not applicable)","NA")</f>
        <v>NA</v>
      </c>
      <c r="H41" s="172" t="str">
        <f>IF($J$10=TRUE,"Observation","Observações")</f>
        <v>Observações</v>
      </c>
      <c r="I41" s="173"/>
    </row>
    <row r="42" spans="2:10" ht="38.25" x14ac:dyDescent="0.2">
      <c r="B42" s="60">
        <v>1</v>
      </c>
      <c r="C42" s="45" t="str">
        <f>IF($J$10=TRUE,"Does the company establish procedures for preparing, issuing, circulating and controlling documentation?","A empresa estabelece procedimentos para elaboração, emissão, circulação e controle da documentação?")</f>
        <v>A empresa estabelece procedimentos para elaboração, emissão, circulação e controle da documentação?</v>
      </c>
      <c r="D42" s="130"/>
      <c r="E42" s="127"/>
      <c r="F42" s="129"/>
      <c r="G42" s="129"/>
      <c r="H42" s="166"/>
      <c r="I42" s="166"/>
    </row>
    <row r="43" spans="2:10" ht="34.5" customHeight="1" x14ac:dyDescent="0.2">
      <c r="B43" s="60">
        <f>B42+1</f>
        <v>2</v>
      </c>
      <c r="C43" s="45" t="str">
        <f>IF($J$10=TRUE,"Is there a supplier management procedure?","Há procedimento de gestão de fornecedores?")</f>
        <v>Há procedimento de gestão de fornecedores?</v>
      </c>
      <c r="D43" s="130"/>
      <c r="E43" s="127"/>
      <c r="F43" s="129"/>
      <c r="G43" s="129"/>
      <c r="H43" s="166"/>
      <c r="I43" s="166"/>
    </row>
    <row r="44" spans="2:10" ht="37.5" customHeight="1" x14ac:dyDescent="0.2">
      <c r="B44" s="60">
        <f t="shared" ref="B44:B54" si="1">B43+1</f>
        <v>3</v>
      </c>
      <c r="C44" s="45" t="str">
        <f>IF($J$10=TRUE,"Do you have a product traceability and recall program? Are simulations carried out?","Possui programa de rastreabilidade e recolhimento de produtos? São realizado simulados?")</f>
        <v>Possui programa de rastreabilidade e recolhimento de produtos? São realizado simulados?</v>
      </c>
      <c r="D44" s="130"/>
      <c r="E44" s="127"/>
      <c r="F44" s="129"/>
      <c r="G44" s="129"/>
      <c r="H44" s="166"/>
      <c r="I44" s="166"/>
    </row>
    <row r="45" spans="2:10" ht="51.75" customHeight="1" x14ac:dyDescent="0.2">
      <c r="B45" s="60">
        <f t="shared" si="1"/>
        <v>4</v>
      </c>
      <c r="C45" s="45" t="str">
        <f>IF($J$10=TRUE,"Is there a documented preventative maintenance program for equipment?","Existe um programa documentado para manutenção preventiva dos equipamentos?")</f>
        <v>Existe um programa documentado para manutenção preventiva dos equipamentos?</v>
      </c>
      <c r="D45" s="130"/>
      <c r="E45" s="127"/>
      <c r="F45" s="129"/>
      <c r="G45" s="129"/>
      <c r="H45" s="166"/>
      <c r="I45" s="166"/>
    </row>
    <row r="46" spans="2:10" ht="25.5" x14ac:dyDescent="0.2">
      <c r="B46" s="60">
        <f t="shared" si="1"/>
        <v>5</v>
      </c>
      <c r="C46" s="45" t="str">
        <f>IF($J$10=TRUE,"Do you perform equipment and instrument calibration?","Realiza calibração de equipamento e instrumentos?")</f>
        <v>Realiza calibração de equipamento e instrumentos?</v>
      </c>
      <c r="D46" s="130"/>
      <c r="E46" s="127"/>
      <c r="F46" s="129"/>
      <c r="G46" s="129"/>
      <c r="H46" s="166"/>
      <c r="I46" s="166"/>
    </row>
    <row r="47" spans="2:10" ht="25.5" x14ac:dyDescent="0.2">
      <c r="B47" s="60">
        <f t="shared" si="1"/>
        <v>6</v>
      </c>
      <c r="C47" s="45" t="str">
        <f>IF($J$10=TRUE,"Are customers notified when there are changes to relevant information? How?","Quando há mudanças nos pertinentes os clientes são comunicados? Como?")</f>
        <v>Quando há mudanças nos pertinentes os clientes são comunicados? Como?</v>
      </c>
      <c r="D47" s="130"/>
      <c r="E47" s="130"/>
      <c r="F47" s="127"/>
      <c r="G47" s="127"/>
      <c r="H47" s="166"/>
      <c r="I47" s="166"/>
    </row>
    <row r="48" spans="2:10" ht="38.25" x14ac:dyDescent="0.2">
      <c r="B48" s="60">
        <f t="shared" si="1"/>
        <v>7</v>
      </c>
      <c r="C48" s="45" t="str">
        <f>IF($J$10=TRUE,"Is there a customer complaint handling system? Are complaints recorded and handled?","Existe um sistema de tratamento de reclamação de clientes? As reclamações são registradas e tratadas?")</f>
        <v>Existe um sistema de tratamento de reclamação de clientes? As reclamações são registradas e tratadas?</v>
      </c>
      <c r="D48" s="130"/>
      <c r="E48" s="127"/>
      <c r="F48" s="129"/>
      <c r="G48" s="129"/>
      <c r="H48" s="166"/>
      <c r="I48" s="166"/>
    </row>
    <row r="49" spans="2:9" ht="25.5" x14ac:dyDescent="0.2">
      <c r="B49" s="60">
        <f t="shared" si="1"/>
        <v>8</v>
      </c>
      <c r="C49" s="45" t="str">
        <f>IF($J$10=TRUE,"Does the company have liquid and solid waste treatments?","A empresa possuí tratamentos de resíduos líquidos e sólidos?")</f>
        <v>A empresa possuí tratamentos de resíduos líquidos e sólidos?</v>
      </c>
      <c r="D49" s="130"/>
      <c r="E49" s="127"/>
      <c r="F49" s="127"/>
      <c r="G49" s="127"/>
      <c r="H49" s="166"/>
      <c r="I49" s="166"/>
    </row>
    <row r="50" spans="2:9" ht="38.25" x14ac:dyDescent="0.2">
      <c r="B50" s="60">
        <f t="shared" si="1"/>
        <v>9</v>
      </c>
      <c r="C50" s="45" t="str">
        <f>IF($J$10=TRUE,"Are the manufactured products biodegradable, resulting in no changes to the effluent treatment system?","Os produtos fabricados são biodegradáveis não conferindo alteração em sistema de tratamento de efluentes?")</f>
        <v>Os produtos fabricados são biodegradáveis não conferindo alteração em sistema de tratamento de efluentes?</v>
      </c>
      <c r="D50" s="130"/>
      <c r="E50" s="127"/>
      <c r="F50" s="127"/>
      <c r="G50" s="127"/>
      <c r="H50" s="166"/>
      <c r="I50" s="166"/>
    </row>
    <row r="51" spans="2:9" ht="33.75" customHeight="1" x14ac:dyDescent="0.2">
      <c r="B51" s="60">
        <f t="shared" si="1"/>
        <v>10</v>
      </c>
      <c r="C51" s="45" t="str">
        <f>IF($J$10=TRUE,"Does the company have an environmental responsibility policy?","A empresa possui política de responsabilidade ambiental?")</f>
        <v>A empresa possui política de responsabilidade ambiental?</v>
      </c>
      <c r="D51" s="130"/>
      <c r="E51" s="127"/>
      <c r="F51" s="129"/>
      <c r="G51" s="129"/>
      <c r="H51" s="166"/>
      <c r="I51" s="166"/>
    </row>
    <row r="52" spans="2:9" ht="40.5" customHeight="1" x14ac:dyDescent="0.2">
      <c r="B52" s="60">
        <f t="shared" si="1"/>
        <v>11</v>
      </c>
      <c r="C52" s="45" t="str">
        <f>IF($J$10=TRUE,"Does the company separate organic waste from recyclable waste?","A empresa separar o lixo orgânico do lixo reciclável?")</f>
        <v>A empresa separar o lixo orgânico do lixo reciclável?</v>
      </c>
      <c r="D52" s="130"/>
      <c r="E52" s="127"/>
      <c r="F52" s="129"/>
      <c r="G52" s="129"/>
      <c r="H52" s="166"/>
      <c r="I52" s="166"/>
    </row>
    <row r="53" spans="2:9" ht="31.5" customHeight="1" x14ac:dyDescent="0.2">
      <c r="B53" s="60">
        <f t="shared" si="1"/>
        <v>12</v>
      </c>
      <c r="C53" s="99" t="str">
        <f>IF($J$10=TRUE,"Do employee employees dress appropriately for their role?","Os colaboradores prestadores vestem-se adequadamente para o exercício do cargo?")</f>
        <v>Os colaboradores prestadores vestem-se adequadamente para o exercício do cargo?</v>
      </c>
      <c r="D53" s="130"/>
      <c r="E53" s="127"/>
      <c r="F53" s="129"/>
      <c r="G53" s="129"/>
      <c r="H53" s="166"/>
      <c r="I53" s="166"/>
    </row>
    <row r="54" spans="2:9" ht="29.25" customHeight="1" x14ac:dyDescent="0.2">
      <c r="B54" s="60">
        <f t="shared" si="1"/>
        <v>13</v>
      </c>
      <c r="C54" s="99" t="str">
        <f>IF($J$10=TRUE,"Do provider employees use PPE when necessary?","Os colaboradores prestadores usam EPI'S quando necessário?")</f>
        <v>Os colaboradores prestadores usam EPI'S quando necessário?</v>
      </c>
      <c r="D54" s="130"/>
      <c r="E54" s="127"/>
      <c r="F54" s="129"/>
      <c r="G54" s="129"/>
      <c r="H54" s="166"/>
      <c r="I54" s="166"/>
    </row>
    <row r="55" spans="2:9" ht="29.25" customHeight="1" x14ac:dyDescent="0.2">
      <c r="B55" s="60">
        <f>B54+1</f>
        <v>14</v>
      </c>
      <c r="C55" s="45" t="str">
        <f>IF($J$10=TRUE,"Do employees undergo admission and periodic exams?","Os funcionários fazem exames admissionais e periódicos?")</f>
        <v>Os funcionários fazem exames admissionais e periódicos?</v>
      </c>
      <c r="D55" s="130"/>
      <c r="E55" s="127"/>
      <c r="F55" s="129"/>
      <c r="G55" s="129"/>
      <c r="H55" s="166"/>
      <c r="I55" s="166"/>
    </row>
    <row r="56" spans="2:9" ht="29.25" customHeight="1" x14ac:dyDescent="0.2">
      <c r="B56" s="60">
        <f>B55+1</f>
        <v>15</v>
      </c>
      <c r="C56" s="45" t="str">
        <f>IF($J$10=TRUE,"Do all employees receive training on their activities?","Todos os funcionários recebem treinamento sobre as suas atividades?")</f>
        <v>Todos os funcionários recebem treinamento sobre as suas atividades?</v>
      </c>
      <c r="D56" s="130"/>
      <c r="E56" s="127"/>
      <c r="F56" s="129"/>
      <c r="G56" s="129"/>
      <c r="H56" s="166"/>
      <c r="I56" s="166"/>
    </row>
    <row r="57" spans="2:9" ht="54" customHeight="1" x14ac:dyDescent="0.2">
      <c r="B57" s="60">
        <f>B56+1</f>
        <v>16</v>
      </c>
      <c r="C57" s="99" t="str">
        <f>IF($J$10=TRUE,"Is the company committed to sending documents for Provider Qualification when requested?","A empresa  está comprometida no envio de documentos para Qualificação  de Prestadores quando solicitados?")</f>
        <v>A empresa  está comprometida no envio de documentos para Qualificação  de Prestadores quando solicitados?</v>
      </c>
      <c r="D57" s="130"/>
      <c r="E57" s="127"/>
      <c r="F57" s="129"/>
      <c r="G57" s="129"/>
      <c r="H57" s="166"/>
      <c r="I57" s="166"/>
    </row>
    <row r="58" spans="2:9" ht="51" x14ac:dyDescent="0.2">
      <c r="B58" s="60">
        <f>B57+1</f>
        <v>17</v>
      </c>
      <c r="C58" s="117" t="str">
        <f>IF($J$10=TRUE,"Does the company develop activities that optimize the use of natural resources (e.g.: control of consumption of water, energy, materials/inputs, etc.)?","A empresa desenvolve atividades que otimiza a utilização de recursos naturais (p.ex.: controle do consumo de água, energia, materiais/insumos, etc.)?")</f>
        <v>A empresa desenvolve atividades que otimiza a utilização de recursos naturais (p.ex.: controle do consumo de água, energia, materiais/insumos, etc.)?</v>
      </c>
      <c r="D58" s="130"/>
      <c r="E58" s="127"/>
      <c r="F58" s="129"/>
      <c r="G58" s="129"/>
      <c r="H58" s="166"/>
      <c r="I58" s="166"/>
    </row>
    <row r="60" spans="2:9" ht="32.25" customHeight="1" x14ac:dyDescent="0.2">
      <c r="B60" s="177" t="str">
        <f>IF($J$10=TRUE,"I declare that all information is true and that any changes in the manufacturing process, specification, or any other changes that impact the quality and/or traceability of the product supplied will be duly communicated to ICC Brazil.","Declaro que todas as informações são verídicas e que qualquer alteração no processo de fabricação, especificação, ou quaisquer outras mudanças que impactem na qualidade e/ou rastreabilidade do produto fornecido serão devidamente comunicados a ICC Brazil.")</f>
        <v>Declaro que todas as informações são verídicas e que qualquer alteração no processo de fabricação, especificação, ou quaisquer outras mudanças que impactem na qualidade e/ou rastreabilidade do produto fornecido serão devidamente comunicados a ICC Brazil.</v>
      </c>
      <c r="C60" s="177"/>
      <c r="D60" s="177"/>
      <c r="E60" s="177"/>
      <c r="F60" s="177"/>
      <c r="G60" s="177"/>
      <c r="H60" s="177"/>
      <c r="I60" s="177"/>
    </row>
    <row r="62" spans="2:9" x14ac:dyDescent="0.2">
      <c r="C62" s="65" t="str">
        <f>IF($J$10=TRUE,"Responsible for completing:","Responsável pelo preenchimento:")</f>
        <v>Responsável pelo preenchimento:</v>
      </c>
      <c r="D62" s="166"/>
      <c r="E62" s="166"/>
      <c r="F62" s="166"/>
      <c r="G62" s="166"/>
      <c r="H62" s="166"/>
    </row>
    <row r="63" spans="2:9" x14ac:dyDescent="0.2">
      <c r="C63" s="65" t="str">
        <f>IF($J$10=TRUE,"Job Title:","Cargo:")</f>
        <v>Cargo:</v>
      </c>
      <c r="D63" s="166"/>
      <c r="E63" s="166"/>
      <c r="F63" s="166"/>
      <c r="G63" s="166"/>
      <c r="H63" s="166"/>
    </row>
    <row r="64" spans="2:9" x14ac:dyDescent="0.2">
      <c r="C64" s="65" t="str">
        <f>IF($J$10=TRUE,"Date:","Data:")</f>
        <v>Data:</v>
      </c>
      <c r="D64" s="166"/>
      <c r="E64" s="166"/>
      <c r="F64" s="166"/>
      <c r="G64" s="166"/>
      <c r="H64" s="166"/>
    </row>
    <row r="68" spans="3:8" x14ac:dyDescent="0.2">
      <c r="C68" s="181"/>
      <c r="D68" s="181"/>
      <c r="E68" s="181"/>
      <c r="F68" s="181"/>
      <c r="G68" s="181"/>
      <c r="H68" s="181"/>
    </row>
    <row r="69" spans="3:8" x14ac:dyDescent="0.2">
      <c r="C69" s="175" t="str">
        <f>IF($J$10=TRUE,"Signature","Assinatura")</f>
        <v>Assinatura</v>
      </c>
      <c r="D69" s="176"/>
      <c r="E69" s="176"/>
      <c r="F69" s="176"/>
      <c r="G69" s="176"/>
      <c r="H69" s="176"/>
    </row>
  </sheetData>
  <sheetProtection algorithmName="SHA-512" hashValue="8S2mPe0HmfBwZBaYOMbfYlsGxZHUBzHRUmywDZsuEiaNZYGjfqemQCFV1FfJBbSYtz4ArN0tG7WpSMa6MCxlsQ==" saltValue="tf17x89QoquWCmoh5IIX/A==" spinCount="100000" sheet="1"/>
  <mergeCells count="69">
    <mergeCell ref="F30:H30"/>
    <mergeCell ref="F31:H31"/>
    <mergeCell ref="H55:I55"/>
    <mergeCell ref="H56:I56"/>
    <mergeCell ref="C20:H20"/>
    <mergeCell ref="B39:I39"/>
    <mergeCell ref="F21:H21"/>
    <mergeCell ref="F22:H22"/>
    <mergeCell ref="F23:H23"/>
    <mergeCell ref="F24:H24"/>
    <mergeCell ref="F25:H25"/>
    <mergeCell ref="F26:H26"/>
    <mergeCell ref="F32:H32"/>
    <mergeCell ref="H46:I46"/>
    <mergeCell ref="H47:I47"/>
    <mergeCell ref="H48:I48"/>
    <mergeCell ref="C68:H68"/>
    <mergeCell ref="C69:H69"/>
    <mergeCell ref="H52:I52"/>
    <mergeCell ref="H53:I53"/>
    <mergeCell ref="H54:I54"/>
    <mergeCell ref="H57:I57"/>
    <mergeCell ref="H58:I58"/>
    <mergeCell ref="B60:I60"/>
    <mergeCell ref="D62:H62"/>
    <mergeCell ref="D63:H63"/>
    <mergeCell ref="D36:J36"/>
    <mergeCell ref="B40:I40"/>
    <mergeCell ref="F33:H33"/>
    <mergeCell ref="D33:E33"/>
    <mergeCell ref="D64:H64"/>
    <mergeCell ref="H51:I51"/>
    <mergeCell ref="B41:C41"/>
    <mergeCell ref="H41:I41"/>
    <mergeCell ref="H42:I42"/>
    <mergeCell ref="H43:I43"/>
    <mergeCell ref="H44:I44"/>
    <mergeCell ref="H45:I45"/>
    <mergeCell ref="H50:I50"/>
    <mergeCell ref="H49:I49"/>
    <mergeCell ref="D30:E30"/>
    <mergeCell ref="D31:E31"/>
    <mergeCell ref="D32:E32"/>
    <mergeCell ref="D23:E23"/>
    <mergeCell ref="D24:E24"/>
    <mergeCell ref="D25:E25"/>
    <mergeCell ref="D26:E26"/>
    <mergeCell ref="D27:E27"/>
    <mergeCell ref="D28:E28"/>
    <mergeCell ref="B14:C14"/>
    <mergeCell ref="D14:H14"/>
    <mergeCell ref="D29:E29"/>
    <mergeCell ref="B15:C15"/>
    <mergeCell ref="D15:H15"/>
    <mergeCell ref="F27:H27"/>
    <mergeCell ref="D21:E21"/>
    <mergeCell ref="D22:E22"/>
    <mergeCell ref="F28:H28"/>
    <mergeCell ref="F29:H29"/>
    <mergeCell ref="E6:F6"/>
    <mergeCell ref="C10:H10"/>
    <mergeCell ref="C11:H11"/>
    <mergeCell ref="C12:H12"/>
    <mergeCell ref="C13:H13"/>
    <mergeCell ref="A1:B4"/>
    <mergeCell ref="C1:I4"/>
    <mergeCell ref="J1:J2"/>
    <mergeCell ref="J3:J4"/>
    <mergeCell ref="B5:H5"/>
  </mergeCells>
  <dataValidations disablePrompts="1" count="1">
    <dataValidation type="list" allowBlank="1" showInputMessage="1" showErrorMessage="1" sqref="D22:E33">
      <formula1>"SIM/YES,NÃO/NO"</formula1>
    </dataValidation>
  </dataValidations>
  <pageMargins left="0.511811024" right="0.511811024" top="0.78740157499999996" bottom="0.78740157499999996" header="0.31496062000000002" footer="0.31496062000000002"/>
  <pageSetup paperSize="9" orientation="portrait" horizontalDpi="0"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52225" r:id="rId4" name="Check Box 1">
              <controlPr locked="0" defaultSize="0" autoFill="0" autoLine="0" autoPict="0">
                <anchor moveWithCells="1">
                  <from>
                    <xdr:col>3</xdr:col>
                    <xdr:colOff>28575</xdr:colOff>
                    <xdr:row>4</xdr:row>
                    <xdr:rowOff>419100</xdr:rowOff>
                  </from>
                  <to>
                    <xdr:col>5</xdr:col>
                    <xdr:colOff>209550</xdr:colOff>
                    <xdr:row>6</xdr:row>
                    <xdr:rowOff>95250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1"/>
  <dimension ref="A1:K117"/>
  <sheetViews>
    <sheetView showGridLines="0" workbookViewId="0">
      <selection activeCell="J5" sqref="J5"/>
    </sheetView>
  </sheetViews>
  <sheetFormatPr defaultColWidth="0" defaultRowHeight="12.75" x14ac:dyDescent="0.2"/>
  <cols>
    <col min="1" max="1" width="4.5703125" customWidth="1"/>
    <col min="2" max="2" width="18.7109375" customWidth="1"/>
    <col min="3" max="3" width="34.42578125" customWidth="1"/>
    <col min="4" max="5" width="7.7109375" style="49" customWidth="1"/>
    <col min="6" max="6" width="20.7109375" style="49" customWidth="1"/>
    <col min="7" max="7" width="7.7109375" style="49" customWidth="1"/>
    <col min="8" max="8" width="20.7109375" style="49" customWidth="1"/>
    <col min="9" max="9" width="18.7109375" customWidth="1"/>
    <col min="10" max="10" width="16" customWidth="1"/>
    <col min="11" max="11" width="26.5703125" hidden="1" customWidth="1"/>
  </cols>
  <sheetData>
    <row r="1" spans="1:10" ht="12.75" customHeight="1" x14ac:dyDescent="0.2">
      <c r="A1" s="195"/>
      <c r="B1" s="196"/>
      <c r="C1" s="193" t="s">
        <v>15</v>
      </c>
      <c r="D1" s="159"/>
      <c r="E1" s="159"/>
      <c r="F1" s="159"/>
      <c r="G1" s="159"/>
      <c r="H1" s="159"/>
      <c r="I1" s="160"/>
      <c r="J1" s="147" t="s">
        <v>42</v>
      </c>
    </row>
    <row r="2" spans="1:10" ht="12.75" customHeight="1" x14ac:dyDescent="0.2">
      <c r="A2" s="197"/>
      <c r="B2" s="198"/>
      <c r="C2" s="193"/>
      <c r="D2" s="159"/>
      <c r="E2" s="159"/>
      <c r="F2" s="159"/>
      <c r="G2" s="159"/>
      <c r="H2" s="159"/>
      <c r="I2" s="160"/>
      <c r="J2" s="148"/>
    </row>
    <row r="3" spans="1:10" ht="12.75" customHeight="1" x14ac:dyDescent="0.2">
      <c r="A3" s="197"/>
      <c r="B3" s="198"/>
      <c r="C3" s="193"/>
      <c r="D3" s="159"/>
      <c r="E3" s="159"/>
      <c r="F3" s="159"/>
      <c r="G3" s="159"/>
      <c r="H3" s="159"/>
      <c r="I3" s="160"/>
      <c r="J3" s="148" t="s">
        <v>80</v>
      </c>
    </row>
    <row r="4" spans="1:10" ht="20.25" customHeight="1" thickBot="1" x14ac:dyDescent="0.25">
      <c r="A4" s="199"/>
      <c r="B4" s="200"/>
      <c r="C4" s="194"/>
      <c r="D4" s="161"/>
      <c r="E4" s="161"/>
      <c r="F4" s="161"/>
      <c r="G4" s="161"/>
      <c r="H4" s="161"/>
      <c r="I4" s="162"/>
      <c r="J4" s="149"/>
    </row>
    <row r="5" spans="1:10" ht="29.25" customHeight="1" x14ac:dyDescent="0.2">
      <c r="B5" s="203" t="s">
        <v>43</v>
      </c>
      <c r="C5" s="203"/>
      <c r="D5" s="203"/>
      <c r="E5" s="203"/>
      <c r="F5" s="203"/>
      <c r="G5" s="203"/>
      <c r="H5" s="203"/>
    </row>
    <row r="6" spans="1:10" x14ac:dyDescent="0.2">
      <c r="B6" s="10"/>
      <c r="C6" s="111"/>
      <c r="D6" s="10"/>
      <c r="E6" s="214"/>
      <c r="F6" s="214"/>
      <c r="G6"/>
      <c r="H6"/>
    </row>
    <row r="7" spans="1:10" x14ac:dyDescent="0.2">
      <c r="B7" s="10"/>
      <c r="C7" s="10"/>
      <c r="D7" s="32"/>
      <c r="E7" s="32"/>
      <c r="F7" s="32"/>
    </row>
    <row r="8" spans="1:10" ht="11.25" customHeight="1" x14ac:dyDescent="0.2">
      <c r="B8" s="19"/>
      <c r="C8" s="20"/>
      <c r="D8" s="50"/>
      <c r="E8" s="50"/>
      <c r="F8" s="50"/>
      <c r="G8" s="51"/>
      <c r="H8" s="51"/>
      <c r="I8" s="22"/>
    </row>
    <row r="9" spans="1:10" x14ac:dyDescent="0.2">
      <c r="B9" s="23"/>
      <c r="C9" s="10"/>
      <c r="D9" s="32"/>
      <c r="E9" s="32"/>
      <c r="F9" s="32"/>
      <c r="I9" s="24"/>
    </row>
    <row r="10" spans="1:10" ht="18" customHeight="1" x14ac:dyDescent="0.25">
      <c r="B10" s="25" t="str">
        <f>IF($J$10=TRUE,"Corporate Name:","Razão Social:")</f>
        <v>Razão Social:</v>
      </c>
      <c r="C10" s="204"/>
      <c r="D10" s="204"/>
      <c r="E10" s="204"/>
      <c r="F10" s="204"/>
      <c r="G10" s="204"/>
      <c r="H10" s="204"/>
      <c r="I10" s="26"/>
      <c r="J10" s="128" t="b">
        <v>0</v>
      </c>
    </row>
    <row r="11" spans="1:10" ht="18" customHeight="1" x14ac:dyDescent="0.25">
      <c r="B11" s="25" t="str">
        <f>IF($J$10=TRUE,"Fantasy Name:","Nome Fantasia:")</f>
        <v>Nome Fantasia:</v>
      </c>
      <c r="C11" s="204"/>
      <c r="D11" s="204"/>
      <c r="E11" s="204"/>
      <c r="F11" s="204"/>
      <c r="G11" s="204"/>
      <c r="H11" s="204"/>
      <c r="I11" s="24"/>
    </row>
    <row r="12" spans="1:10" ht="18" customHeight="1" x14ac:dyDescent="0.25">
      <c r="B12" s="25" t="str">
        <f>IF($J$10=TRUE,"TIN:","CNPJ:")</f>
        <v>CNPJ:</v>
      </c>
      <c r="C12" s="204"/>
      <c r="D12" s="204"/>
      <c r="E12" s="204"/>
      <c r="F12" s="204"/>
      <c r="G12" s="204"/>
      <c r="H12" s="204"/>
      <c r="I12" s="26"/>
    </row>
    <row r="13" spans="1:10" ht="28.5" customHeight="1" x14ac:dyDescent="0.25">
      <c r="B13" s="25" t="str">
        <f>IF($J$10=TRUE,"Adress:","Endereço:")</f>
        <v>Endereço:</v>
      </c>
      <c r="C13" s="204"/>
      <c r="D13" s="204"/>
      <c r="E13" s="204"/>
      <c r="F13" s="204"/>
      <c r="G13" s="204"/>
      <c r="H13" s="204"/>
      <c r="I13" s="26"/>
    </row>
    <row r="14" spans="1:10" ht="18" customHeight="1" x14ac:dyDescent="0.2">
      <c r="B14" s="164" t="str">
        <f>IF($J$10=TRUE,"Product supplied to ICC Brazil:","Produto (s) fornecido (s) para a ICC:")</f>
        <v>Produto (s) fornecido (s) para a ICC:</v>
      </c>
      <c r="C14" s="165"/>
      <c r="D14" s="220"/>
      <c r="E14" s="220"/>
      <c r="F14" s="220"/>
      <c r="G14" s="220"/>
      <c r="H14" s="220"/>
      <c r="I14" s="24"/>
    </row>
    <row r="15" spans="1:10" ht="18" customHeight="1" x14ac:dyDescent="0.2">
      <c r="B15" s="164" t="str">
        <f>IF($J$10=TRUE,"CEO:","Responsável Técnico:")</f>
        <v>Responsável Técnico:</v>
      </c>
      <c r="C15" s="165"/>
      <c r="D15" s="220"/>
      <c r="E15" s="220"/>
      <c r="F15" s="220"/>
      <c r="G15" s="220"/>
      <c r="H15" s="220"/>
      <c r="I15" s="24"/>
    </row>
    <row r="16" spans="1:10" x14ac:dyDescent="0.2">
      <c r="B16" s="28"/>
      <c r="C16" s="29"/>
      <c r="D16" s="52"/>
      <c r="E16" s="52"/>
      <c r="F16" s="52"/>
      <c r="G16" s="53"/>
      <c r="H16" s="53"/>
      <c r="I16" s="31"/>
    </row>
    <row r="17" spans="2:11" x14ac:dyDescent="0.2">
      <c r="B17" s="16"/>
      <c r="C17" s="16"/>
      <c r="D17" s="54"/>
      <c r="E17" s="54"/>
      <c r="F17" s="54"/>
    </row>
    <row r="18" spans="2:11" x14ac:dyDescent="0.2">
      <c r="B18" s="16"/>
      <c r="C18" s="16"/>
      <c r="D18" s="54"/>
      <c r="E18" s="54"/>
      <c r="F18" s="54"/>
    </row>
    <row r="19" spans="2:11" x14ac:dyDescent="0.2">
      <c r="B19" s="33"/>
      <c r="C19" s="34"/>
      <c r="D19" s="55"/>
      <c r="E19" s="55"/>
      <c r="F19" s="55"/>
      <c r="G19" s="51"/>
      <c r="H19" s="51"/>
      <c r="I19" s="22"/>
    </row>
    <row r="20" spans="2:11" x14ac:dyDescent="0.2">
      <c r="B20" s="35"/>
      <c r="C20" s="205" t="str">
        <f>IF($J$10=TRUE,"Please select the submitted documents below","Selecione abaixo os documentos enviados.")</f>
        <v>Selecione abaixo os documentos enviados.</v>
      </c>
      <c r="D20" s="205"/>
      <c r="E20" s="205"/>
      <c r="F20" s="205"/>
      <c r="G20" s="205"/>
      <c r="H20" s="205"/>
      <c r="I20" s="24"/>
    </row>
    <row r="21" spans="2:11" ht="12.75" customHeight="1" x14ac:dyDescent="0.2">
      <c r="B21" s="35"/>
      <c r="C21" s="44" t="str">
        <f>IF($J$10=TRUE,"REQUIREMENT","REQUISITO")</f>
        <v>REQUISITO</v>
      </c>
      <c r="D21" s="206" t="str">
        <f>IF($J$10=TRUE,"SENT","ENVIADO")</f>
        <v>ENVIADO</v>
      </c>
      <c r="E21" s="206"/>
      <c r="F21" s="187" t="str">
        <f>IF($J$10=TRUE,"DOCUMENTS","DOCUMENTOS")</f>
        <v>DOCUMENTOS</v>
      </c>
      <c r="G21" s="188"/>
      <c r="H21" s="189"/>
      <c r="I21" s="24"/>
    </row>
    <row r="22" spans="2:11" ht="12.75" customHeight="1" x14ac:dyDescent="0.2">
      <c r="B22" s="35"/>
      <c r="C22" s="47" t="str">
        <f t="shared" ref="C22:C32" si="0">IF($J$10=TRUE,"Mandatory","Obrigatório")</f>
        <v>Obrigatório</v>
      </c>
      <c r="D22" s="201"/>
      <c r="E22" s="201"/>
      <c r="F22" s="221" t="str">
        <f>IF($J$10=TRUE,"Licença de operação emitida pelo governo","Alvará da Prefeitura")</f>
        <v>Alvará da Prefeitura</v>
      </c>
      <c r="G22" s="222"/>
      <c r="H22" s="223"/>
      <c r="I22" s="24"/>
    </row>
    <row r="23" spans="2:11" ht="27.75" customHeight="1" x14ac:dyDescent="0.2">
      <c r="B23" s="36"/>
      <c r="C23" s="47" t="str">
        <f t="shared" si="0"/>
        <v>Obrigatório</v>
      </c>
      <c r="D23" s="201"/>
      <c r="E23" s="201"/>
      <c r="F23" s="221" t="str">
        <f>IF($J$10=TRUE,"License issued by the health agency","Licença da Vigilância Sanitária")</f>
        <v>Licença da Vigilância Sanitária</v>
      </c>
      <c r="G23" s="222"/>
      <c r="H23" s="223"/>
      <c r="I23" s="24"/>
    </row>
    <row r="24" spans="2:11" ht="25.5" customHeight="1" x14ac:dyDescent="0.2">
      <c r="B24" s="37"/>
      <c r="C24" s="47" t="str">
        <f t="shared" si="0"/>
        <v>Obrigatório</v>
      </c>
      <c r="D24" s="201"/>
      <c r="E24" s="201"/>
      <c r="F24" s="217" t="str">
        <f>IF($J$10=TRUE,"License issued by the environmental agency","Licença de Operação ou Dispensa do órgão ambiental estadual")</f>
        <v>Licença de Operação ou Dispensa do órgão ambiental estadual</v>
      </c>
      <c r="G24" s="218"/>
      <c r="H24" s="219"/>
      <c r="I24" s="38"/>
      <c r="J24" s="32"/>
      <c r="K24" s="10"/>
    </row>
    <row r="25" spans="2:11" ht="43.5" customHeight="1" x14ac:dyDescent="0.2">
      <c r="B25" s="37"/>
      <c r="C25" s="47" t="str">
        <f t="shared" si="0"/>
        <v>Obrigatório</v>
      </c>
      <c r="D25" s="201"/>
      <c r="E25" s="201"/>
      <c r="F25" s="217" t="str">
        <f>IF($J$10=TRUE,"Proof of company registration with regulatory agencies","Comprovante de registro da empresa junto aos órgãos reguladores")</f>
        <v>Comprovante de registro da empresa junto aos órgãos reguladores</v>
      </c>
      <c r="G25" s="218"/>
      <c r="H25" s="219"/>
      <c r="I25" s="38"/>
      <c r="J25" s="32"/>
    </row>
    <row r="26" spans="2:11" ht="42.75" customHeight="1" x14ac:dyDescent="0.2">
      <c r="B26" s="36"/>
      <c r="C26" s="47" t="str">
        <f t="shared" si="0"/>
        <v>Obrigatório</v>
      </c>
      <c r="D26" s="201"/>
      <c r="E26" s="201"/>
      <c r="F26" s="217" t="str">
        <f>IF($J$10=TRUE,"Product registration with the Responsible Organ of the country of origin","Registro do produto junto ao órgão responsável")</f>
        <v>Registro do produto junto ao órgão responsável</v>
      </c>
      <c r="G26" s="218"/>
      <c r="H26" s="219"/>
      <c r="I26" s="24"/>
    </row>
    <row r="27" spans="2:11" ht="30.75" customHeight="1" x14ac:dyDescent="0.2">
      <c r="B27" s="37"/>
      <c r="C27" s="47" t="str">
        <f t="shared" si="0"/>
        <v>Obrigatório</v>
      </c>
      <c r="D27" s="201"/>
      <c r="E27" s="201"/>
      <c r="F27" s="217" t="str">
        <f>IF($J$10=TRUE,"Technical Specification Sheet (TS)","Ficha de Especificações Técnicas")</f>
        <v>Ficha de Especificações Técnicas</v>
      </c>
      <c r="G27" s="218"/>
      <c r="H27" s="219"/>
      <c r="I27" s="38"/>
      <c r="J27" s="32"/>
    </row>
    <row r="28" spans="2:11" x14ac:dyDescent="0.2">
      <c r="B28" s="37"/>
      <c r="C28" s="47" t="str">
        <f t="shared" si="0"/>
        <v>Obrigatório</v>
      </c>
      <c r="D28" s="201"/>
      <c r="E28" s="201"/>
      <c r="F28" s="217" t="str">
        <f>IF($J$10=TRUE,"Material Safety Data Sheet (MSDS)","FISPQ")</f>
        <v>FISPQ</v>
      </c>
      <c r="G28" s="218"/>
      <c r="H28" s="219"/>
      <c r="I28" s="38"/>
      <c r="J28" s="32"/>
    </row>
    <row r="29" spans="2:11" ht="25.5" customHeight="1" x14ac:dyDescent="0.2">
      <c r="B29" s="37"/>
      <c r="C29" s="47" t="str">
        <f t="shared" si="0"/>
        <v>Obrigatório</v>
      </c>
      <c r="D29" s="201"/>
      <c r="E29" s="201"/>
      <c r="F29" s="217" t="str">
        <f>IF($J$10=TRUE,"ICC Technical Specification Acceptance","Aceite da Especificação Técnica ICC")</f>
        <v>Aceite da Especificação Técnica ICC</v>
      </c>
      <c r="G29" s="218"/>
      <c r="H29" s="219"/>
      <c r="I29" s="38"/>
      <c r="J29" s="32"/>
    </row>
    <row r="30" spans="2:11" ht="30" customHeight="1" x14ac:dyDescent="0.2">
      <c r="B30" s="37"/>
      <c r="C30" s="47" t="str">
        <f t="shared" si="0"/>
        <v>Obrigatório</v>
      </c>
      <c r="D30" s="201"/>
      <c r="E30" s="201"/>
      <c r="F30" s="217" t="str">
        <f>IF($J$10=TRUE,"Analysis report in an external total migration laboratory","Laudo de análise em laboratório externo de migração total")</f>
        <v>Laudo de análise em laboratório externo de migração total</v>
      </c>
      <c r="G30" s="218"/>
      <c r="H30" s="219"/>
      <c r="I30" s="38"/>
      <c r="J30" s="32"/>
    </row>
    <row r="31" spans="2:11" ht="50.25" customHeight="1" x14ac:dyDescent="0.2">
      <c r="B31" s="37"/>
      <c r="C31" s="47" t="str">
        <f t="shared" si="0"/>
        <v>Obrigatório</v>
      </c>
      <c r="D31" s="201"/>
      <c r="E31" s="201"/>
      <c r="F31" s="217" t="str">
        <f>IF($J$10=TRUE,"Specific migration report for packaging that contains dyes in accordance with Brazilian legislation RDC 52 of 11/26/2010","Laudo de migração específica para embalagens que possuem corantes de acordo com a RDC 52 de 26/11/2010.")</f>
        <v>Laudo de migração específica para embalagens que possuem corantes de acordo com a RDC 52 de 26/11/2010.</v>
      </c>
      <c r="G31" s="218"/>
      <c r="H31" s="219"/>
      <c r="I31" s="38"/>
      <c r="J31" s="32"/>
    </row>
    <row r="32" spans="2:11" ht="29.25" customHeight="1" x14ac:dyDescent="0.2">
      <c r="B32" s="36"/>
      <c r="C32" s="47" t="str">
        <f t="shared" si="0"/>
        <v>Obrigatório</v>
      </c>
      <c r="D32" s="201"/>
      <c r="E32" s="201"/>
      <c r="F32" s="217" t="str">
        <f>IF($J$10=TRUE,"Report and declaration regarding the presence/absence of Bisphenol A.","Laudo e declaração referente a presença/ausência de Bisfenol A.")</f>
        <v>Laudo e declaração referente a presença/ausência de Bisfenol A.</v>
      </c>
      <c r="G32" s="218"/>
      <c r="H32" s="219"/>
      <c r="I32" s="24"/>
    </row>
    <row r="33" spans="2:10" ht="23.25" customHeight="1" x14ac:dyDescent="0.2">
      <c r="B33" s="36"/>
      <c r="C33" s="46" t="str">
        <f>IF($J$10=TRUE,"Differencial","Diferencial")</f>
        <v>Diferencial</v>
      </c>
      <c r="D33" s="201"/>
      <c r="E33" s="201"/>
      <c r="F33" s="217" t="str">
        <f>IF($J$10=TRUE,"Permeability Report (if necessary)","Laudo de Permeabilidade (se necessário)")</f>
        <v>Laudo de Permeabilidade (se necessário)</v>
      </c>
      <c r="G33" s="218"/>
      <c r="H33" s="219"/>
      <c r="I33" s="24"/>
    </row>
    <row r="34" spans="2:10" ht="28.5" customHeight="1" x14ac:dyDescent="0.2">
      <c r="B34" s="36"/>
      <c r="C34" s="46" t="str">
        <f>IF($J$10=TRUE,"Differencial","Diferencial")</f>
        <v>Diferencial</v>
      </c>
      <c r="D34" s="201"/>
      <c r="E34" s="201"/>
      <c r="F34" s="217" t="str">
        <f>IF($J$10=TRUE,"Food Safety Certificates (e.g., GMP+FSA, FSSC 22000, FAMI QS, BRC...)","Certificados de Segurança de Alimentos (por exemplo, GMP+FSA, FSSC 22000, FAMI QS, BRC...)")</f>
        <v>Certificados de Segurança de Alimentos (por exemplo, GMP+FSA, FSSC 22000, FAMI QS, BRC...)</v>
      </c>
      <c r="G34" s="218"/>
      <c r="H34" s="219"/>
      <c r="I34" s="24"/>
    </row>
    <row r="35" spans="2:10" x14ac:dyDescent="0.2">
      <c r="B35" s="39"/>
      <c r="C35" s="30"/>
      <c r="D35" s="53"/>
      <c r="E35" s="53"/>
      <c r="F35" s="53"/>
      <c r="G35" s="53"/>
      <c r="H35" s="53"/>
      <c r="I35" s="31"/>
    </row>
    <row r="37" spans="2:10" x14ac:dyDescent="0.2">
      <c r="G37" s="154"/>
      <c r="H37" s="154"/>
      <c r="I37" s="154"/>
      <c r="J37" s="139"/>
    </row>
    <row r="38" spans="2:10" x14ac:dyDescent="0.2">
      <c r="B38" s="41"/>
      <c r="C38" s="21"/>
      <c r="D38" s="51"/>
      <c r="E38" s="51"/>
      <c r="F38" s="51"/>
      <c r="G38" s="56"/>
      <c r="H38" s="56"/>
      <c r="I38" s="43"/>
      <c r="J38" s="40"/>
    </row>
    <row r="39" spans="2:10" x14ac:dyDescent="0.2">
      <c r="B39" s="36"/>
      <c r="I39" s="24"/>
    </row>
    <row r="40" spans="2:10" x14ac:dyDescent="0.2">
      <c r="B40" s="183" t="str">
        <f>IF($J$10=TRUE,"Read each statement and mark with an X in the column according to the company's service in the item.","Por favor, leia cada enunciado e assinale com um X na coluna correspondente ao atendimento da empresa para o respectivo item.")</f>
        <v>Por favor, leia cada enunciado e assinale com um X na coluna correspondente ao atendimento da empresa para o respectivo item.</v>
      </c>
      <c r="C40" s="184"/>
      <c r="D40" s="184"/>
      <c r="E40" s="184"/>
      <c r="F40" s="184"/>
      <c r="G40" s="184"/>
      <c r="H40" s="184"/>
      <c r="I40" s="185"/>
    </row>
    <row r="41" spans="2:10" ht="15.75" x14ac:dyDescent="0.2">
      <c r="B41" s="167" t="str">
        <f>IF($J$10=TRUE,"LEGISLATION","LEGISLAÇÃO")</f>
        <v>LEGISLAÇÃO</v>
      </c>
      <c r="C41" s="168"/>
      <c r="D41" s="168"/>
      <c r="E41" s="168"/>
      <c r="F41" s="168"/>
      <c r="G41" s="168"/>
      <c r="H41" s="168"/>
      <c r="I41" s="169"/>
    </row>
    <row r="42" spans="2:10" ht="28.5" customHeight="1" x14ac:dyDescent="0.2">
      <c r="B42" s="170" t="str">
        <f>IF($J$10=TRUE,"Items (Answer the question with an X. If the answer is NA, please justify the answer at the Observation field.","Itens (Selecione a resposta com X) / Se NA, justificar em Observações")</f>
        <v>Itens (Selecione a resposta com X) / Se NA, justificar em Observações</v>
      </c>
      <c r="C42" s="171"/>
      <c r="D42" s="114" t="str">
        <f>IF($J$10=TRUE,"Yes","Sim")</f>
        <v>Sim</v>
      </c>
      <c r="E42" s="114" t="str">
        <f>IF($J$10=TRUE,"No","Não")</f>
        <v>Não</v>
      </c>
      <c r="F42" s="114" t="str">
        <f>IF($J$10=TRUE,"In progress","Em andamento")</f>
        <v>Em andamento</v>
      </c>
      <c r="G42" s="113" t="str">
        <f>IF($J$10=TRUE,"NA (not applicable)","NA")</f>
        <v>NA</v>
      </c>
      <c r="H42" s="172" t="str">
        <f>IF($J$10=TRUE,"Observation","Observações")</f>
        <v>Observações</v>
      </c>
      <c r="I42" s="173"/>
    </row>
    <row r="43" spans="2:10" ht="28.5" customHeight="1" x14ac:dyDescent="0.2">
      <c r="B43" s="60">
        <v>1</v>
      </c>
      <c r="C43" s="45" t="str">
        <f>IF($J$10=TRUE,"Complies with Brazilian legislation RDC 88/2016","Atende a RDC 88/2016 da ANVISA")</f>
        <v>Atende a RDC 88/2016 da ANVISA</v>
      </c>
      <c r="D43" s="127"/>
      <c r="E43" s="130"/>
      <c r="F43" s="127"/>
      <c r="G43" s="127"/>
      <c r="H43" s="166"/>
      <c r="I43" s="166"/>
    </row>
    <row r="44" spans="2:10" ht="28.5" customHeight="1" x14ac:dyDescent="0.2">
      <c r="B44" s="60">
        <v>2</v>
      </c>
      <c r="C44" s="45" t="str">
        <f>IF($J$10=TRUE,"Complies with Brazilian legislation 105/1999","Atende a RDC 105/1999 da ANVISA ")</f>
        <v xml:space="preserve">Atende a RDC 105/1999 da ANVISA </v>
      </c>
      <c r="D44" s="127"/>
      <c r="E44" s="130"/>
      <c r="F44" s="127"/>
      <c r="G44" s="127"/>
      <c r="H44" s="166"/>
      <c r="I44" s="166"/>
    </row>
    <row r="45" spans="2:10" ht="28.5" customHeight="1" x14ac:dyDescent="0.2">
      <c r="B45" s="60">
        <v>3</v>
      </c>
      <c r="C45" s="45" t="str">
        <f>IF($J$10=TRUE,"Complies with Brazilian legislation RDC 91/2001","Atende a RDC 91/2001 da ANVISA")</f>
        <v>Atende a RDC 91/2001 da ANVISA</v>
      </c>
      <c r="D45" s="127"/>
      <c r="E45" s="130"/>
      <c r="F45" s="127"/>
      <c r="G45" s="127"/>
      <c r="H45" s="166"/>
      <c r="I45" s="166"/>
    </row>
    <row r="46" spans="2:10" ht="28.5" customHeight="1" x14ac:dyDescent="0.2">
      <c r="B46" s="60">
        <v>4</v>
      </c>
      <c r="C46" s="45" t="str">
        <f>IF($J$10=TRUE,"Complies with Brazilian legislation RDC 17/2008","Atende a RDC nº 17/2008 da ANVISA")</f>
        <v>Atende a RDC nº 17/2008 da ANVISA</v>
      </c>
      <c r="D46" s="127"/>
      <c r="E46" s="130"/>
      <c r="F46" s="127"/>
      <c r="G46" s="127"/>
      <c r="H46" s="166"/>
      <c r="I46" s="166"/>
    </row>
    <row r="47" spans="2:10" ht="28.5" customHeight="1" x14ac:dyDescent="0.2">
      <c r="B47" s="60">
        <v>5</v>
      </c>
      <c r="C47" s="45" t="str">
        <f>IF($J$10=TRUE,"Complies with Brazilian legislation RDC 51/2010","Atende a RDC 51/2010 da ANVISA")</f>
        <v>Atende a RDC 51/2010 da ANVISA</v>
      </c>
      <c r="D47" s="127"/>
      <c r="E47" s="130"/>
      <c r="F47" s="127"/>
      <c r="G47" s="127"/>
      <c r="H47" s="166"/>
      <c r="I47" s="166"/>
    </row>
    <row r="48" spans="2:10" ht="28.5" customHeight="1" x14ac:dyDescent="0.2">
      <c r="B48" s="60">
        <v>6</v>
      </c>
      <c r="C48" s="45" t="str">
        <f>IF($J$10=TRUE,"Complies with Brazilian legislation RDC 56/2012","Atende a RDC 56/2012 da ANVISA")</f>
        <v>Atende a RDC 56/2012 da ANVISA</v>
      </c>
      <c r="D48" s="127"/>
      <c r="E48" s="130"/>
      <c r="F48" s="127"/>
      <c r="G48" s="127"/>
      <c r="H48" s="166"/>
      <c r="I48" s="166"/>
    </row>
    <row r="49" spans="2:9" ht="28.5" customHeight="1" x14ac:dyDescent="0.2">
      <c r="B49" s="60">
        <v>7</v>
      </c>
      <c r="C49" s="45" t="str">
        <f>IF($J$10=TRUE,"Complies with Brazilian legislation RDC 326/2019","Atende a RDC 326/2019 da ANVISA")</f>
        <v>Atende a RDC 326/2019 da ANVISA</v>
      </c>
      <c r="D49" s="127"/>
      <c r="E49" s="130"/>
      <c r="F49" s="127"/>
      <c r="G49" s="127"/>
      <c r="H49" s="166"/>
      <c r="I49" s="166"/>
    </row>
    <row r="50" spans="2:9" ht="28.5" customHeight="1" x14ac:dyDescent="0.2">
      <c r="B50" s="60">
        <v>8</v>
      </c>
      <c r="C50" s="45" t="str">
        <f>IF($J$10=TRUE,"Complies with Brazilian legislation RDC 589/2021","Atende a RDC 589/2021 da ANVISA")</f>
        <v>Atende a RDC 589/2021 da ANVISA</v>
      </c>
      <c r="D50" s="127"/>
      <c r="E50" s="130"/>
      <c r="F50" s="127"/>
      <c r="G50" s="127"/>
      <c r="H50" s="166"/>
      <c r="I50" s="166"/>
    </row>
    <row r="51" spans="2:9" ht="11.25" customHeight="1" x14ac:dyDescent="0.2">
      <c r="B51" s="58"/>
      <c r="C51" s="86"/>
      <c r="D51" s="86"/>
      <c r="E51" s="86"/>
      <c r="F51" s="86"/>
      <c r="G51" s="86"/>
      <c r="H51" s="86"/>
      <c r="I51" s="24"/>
    </row>
    <row r="52" spans="2:9" ht="15.75" x14ac:dyDescent="0.2">
      <c r="B52" s="167" t="str">
        <f>IF($J$10=TRUE,"QUALITY AND FOOD SAFETY MANAGEMENT SYSTEM","SISTEMA DE GESTÃO DA QUALIDADE E SEGURANÇA DE ALIMENTOS")</f>
        <v>SISTEMA DE GESTÃO DA QUALIDADE E SEGURANÇA DE ALIMENTOS</v>
      </c>
      <c r="C52" s="168"/>
      <c r="D52" s="168"/>
      <c r="E52" s="168"/>
      <c r="F52" s="168"/>
      <c r="G52" s="168"/>
      <c r="H52" s="168"/>
      <c r="I52" s="169"/>
    </row>
    <row r="53" spans="2:9" ht="27" customHeight="1" x14ac:dyDescent="0.2">
      <c r="B53" s="170" t="str">
        <f>IF($J$10=TRUE,"Items (Answer the question with an X. If the answer is NA, please justify the answer at the Observation field.","Itens (Selecione a resposta com X) / Se NA, justificar em Observações")</f>
        <v>Itens (Selecione a resposta com X) / Se NA, justificar em Observações</v>
      </c>
      <c r="C53" s="171"/>
      <c r="D53" s="114" t="str">
        <f>IF($J$10=TRUE,"Yes","Sim")</f>
        <v>Sim</v>
      </c>
      <c r="E53" s="114" t="str">
        <f>IF($J$10=TRUE,"No","Não")</f>
        <v>Não</v>
      </c>
      <c r="F53" s="114" t="str">
        <f>IF($J$10=TRUE,"In progress","Em andamento")</f>
        <v>Em andamento</v>
      </c>
      <c r="G53" s="113" t="str">
        <f>IF($J$10=TRUE,"NA (not applicable)","NA")</f>
        <v>NA</v>
      </c>
      <c r="H53" s="172" t="str">
        <f>IF($J$10=TRUE,"Observation","Observações")</f>
        <v>Observações</v>
      </c>
      <c r="I53" s="173"/>
    </row>
    <row r="54" spans="2:9" ht="41.25" customHeight="1" x14ac:dyDescent="0.2">
      <c r="B54" s="60">
        <f>B50+1</f>
        <v>9</v>
      </c>
      <c r="C54" s="45" t="str">
        <f>IF($J$10=TRUE,"Does the company establish procedures for preparing, issuing, circulating and controlling documentation?","A empresa estabelece procedimentos para elaboração, emissão, circulação e controle da documentação?")</f>
        <v>A empresa estabelece procedimentos para elaboração, emissão, circulação e controle da documentação?</v>
      </c>
      <c r="D54" s="127"/>
      <c r="E54" s="130"/>
      <c r="F54" s="127"/>
      <c r="G54" s="127"/>
      <c r="H54" s="166"/>
      <c r="I54" s="166"/>
    </row>
    <row r="55" spans="2:9" ht="43.5" customHeight="1" x14ac:dyDescent="0.2">
      <c r="B55" s="60">
        <f>B54+1</f>
        <v>10</v>
      </c>
      <c r="C55" s="45" t="str">
        <f>IF($J$10=TRUE,"Does the company establish and implement Good Manufacturing Practices following current legislation?","A empresa estabelecer e implantar as Boas Práticas de Fabricação seguindo a Legislação vigente?")</f>
        <v>A empresa estabelecer e implantar as Boas Práticas de Fabricação seguindo a Legislação vigente?</v>
      </c>
      <c r="D55" s="127"/>
      <c r="E55" s="127"/>
      <c r="F55" s="127"/>
      <c r="G55" s="127"/>
      <c r="H55" s="166"/>
      <c r="I55" s="166"/>
    </row>
    <row r="56" spans="2:9" ht="58.5" customHeight="1" x14ac:dyDescent="0.2">
      <c r="B56" s="60">
        <f t="shared" ref="B56:B61" si="1">B55+1</f>
        <v>11</v>
      </c>
      <c r="C56" s="45" t="str">
        <f>IF($J$10=TRUE,"Is there a Quality Manual or Good Manufacturing Practices Manual? (GMP)","Existe um Manual de Qualidade ou Manual de Boas Práticas de Fabricação?")</f>
        <v>Existe um Manual de Qualidade ou Manual de Boas Práticas de Fabricação?</v>
      </c>
      <c r="D56" s="127"/>
      <c r="E56" s="127"/>
      <c r="F56" s="127"/>
      <c r="G56" s="127"/>
      <c r="H56" s="166"/>
      <c r="I56" s="166"/>
    </row>
    <row r="57" spans="2:9" ht="38.25" x14ac:dyDescent="0.2">
      <c r="B57" s="60">
        <f t="shared" si="1"/>
        <v>12</v>
      </c>
      <c r="C57" s="45" t="str">
        <f>IF($J$10=TRUE,"Are periodic inspections/audits of the food quality and safety management system carried out?","São realizadas inspeções/auditorias periódicas do sistema de gestão da qualidade e segurança de alimentos?")</f>
        <v>São realizadas inspeções/auditorias periódicas do sistema de gestão da qualidade e segurança de alimentos?</v>
      </c>
      <c r="D57" s="127"/>
      <c r="E57" s="127"/>
      <c r="F57" s="127"/>
      <c r="G57" s="127"/>
      <c r="H57" s="166"/>
      <c r="I57" s="166"/>
    </row>
    <row r="58" spans="2:9" ht="25.5" x14ac:dyDescent="0.2">
      <c r="B58" s="60">
        <f t="shared" si="1"/>
        <v>13</v>
      </c>
      <c r="C58" s="45" t="str">
        <f>IF($J$10=TRUE,"Is there a supplier management procedure?","Há procedimento de gestão de fornecedores?")</f>
        <v>Há procedimento de gestão de fornecedores?</v>
      </c>
      <c r="D58" s="127"/>
      <c r="E58" s="127"/>
      <c r="F58" s="127"/>
      <c r="G58" s="127"/>
      <c r="H58" s="166"/>
      <c r="I58" s="166"/>
    </row>
    <row r="59" spans="2:9" ht="42.75" customHeight="1" x14ac:dyDescent="0.2">
      <c r="B59" s="60">
        <f t="shared" si="1"/>
        <v>14</v>
      </c>
      <c r="C59" s="45" t="str">
        <f>IF($J$10=TRUE,"Do you have a product traceability and recall program? Are simulations carried out?","Possui programa de rastreabilidade e recolhimento de produtos? São realizado simulados?")</f>
        <v>Possui programa de rastreabilidade e recolhimento de produtos? São realizado simulados?</v>
      </c>
      <c r="D59" s="127"/>
      <c r="E59" s="127"/>
      <c r="F59" s="127"/>
      <c r="G59" s="127"/>
      <c r="H59" s="166"/>
      <c r="I59" s="166"/>
    </row>
    <row r="60" spans="2:9" ht="46.5" customHeight="1" x14ac:dyDescent="0.2">
      <c r="B60" s="60">
        <f t="shared" si="1"/>
        <v>15</v>
      </c>
      <c r="C60" s="45" t="str">
        <f>IF($J$10=TRUE,"Is there a customer complaint handling system? Are complaints recorded and handled?","Existe um sistema de tratamento de reclamação de clientes? As reclamações são registradas e tratadas?")</f>
        <v>Existe um sistema de tratamento de reclamação de clientes? As reclamações são registradas e tratadas?</v>
      </c>
      <c r="D60" s="127"/>
      <c r="E60" s="127"/>
      <c r="F60" s="127"/>
      <c r="G60" s="127"/>
      <c r="H60" s="166"/>
      <c r="I60" s="166"/>
    </row>
    <row r="61" spans="2:9" ht="29.25" customHeight="1" x14ac:dyDescent="0.2">
      <c r="B61" s="60">
        <f t="shared" si="1"/>
        <v>16</v>
      </c>
      <c r="C61" s="45" t="str">
        <f>IF($J$10=TRUE,"Is there an effective pest control program in place?","Existe um programa de controle de pragas implementado e eficaz?")</f>
        <v>Existe um programa de controle de pragas implementado e eficaz?</v>
      </c>
      <c r="D61" s="127"/>
      <c r="E61" s="130"/>
      <c r="F61" s="127"/>
      <c r="G61" s="127"/>
      <c r="H61" s="166"/>
      <c r="I61" s="166"/>
    </row>
    <row r="62" spans="2:9" x14ac:dyDescent="0.2">
      <c r="B62" s="62"/>
      <c r="C62" s="76"/>
      <c r="D62" s="67"/>
      <c r="E62" s="67"/>
      <c r="F62" s="67"/>
      <c r="G62" s="67"/>
      <c r="H62" s="48"/>
      <c r="I62" s="64"/>
    </row>
    <row r="63" spans="2:9" ht="15.75" x14ac:dyDescent="0.2">
      <c r="B63" s="167" t="str">
        <f>IF($J$10=TRUE,"BUILDING AND FACILITIES","EDIFICAÇÃO E INSTALAÇÕES")</f>
        <v>EDIFICAÇÃO E INSTALAÇÕES</v>
      </c>
      <c r="C63" s="168"/>
      <c r="D63" s="168"/>
      <c r="E63" s="168"/>
      <c r="F63" s="168"/>
      <c r="G63" s="168"/>
      <c r="H63" s="168"/>
      <c r="I63" s="169"/>
    </row>
    <row r="64" spans="2:9" ht="27.75" customHeight="1" x14ac:dyDescent="0.2">
      <c r="B64" s="170" t="str">
        <f>IF($J$10=TRUE,"Items (Answer the question with an X. If the answer is NA, please justify the answer at the Observation field.","Itens (Selecione a resposta com X) / Se NA, justificar em Observações")</f>
        <v>Itens (Selecione a resposta com X) / Se NA, justificar em Observações</v>
      </c>
      <c r="C64" s="171"/>
      <c r="D64" s="114" t="str">
        <f>IF($J$10=TRUE,"Yes","Sim")</f>
        <v>Sim</v>
      </c>
      <c r="E64" s="114" t="str">
        <f>IF($J$10=TRUE,"No","Não")</f>
        <v>Não</v>
      </c>
      <c r="F64" s="114" t="str">
        <f>IF($J$10=TRUE,"In progress","Em andamento")</f>
        <v>Em andamento</v>
      </c>
      <c r="G64" s="113" t="str">
        <f>IF($J$10=TRUE,"NA (not applicable)","NA")</f>
        <v>NA</v>
      </c>
      <c r="H64" s="172" t="str">
        <f>IF($J$10=TRUE,"Observation","Observações")</f>
        <v>Observações</v>
      </c>
      <c r="I64" s="173"/>
    </row>
    <row r="65" spans="2:9" ht="25.5" x14ac:dyDescent="0.2">
      <c r="B65" s="60">
        <f>IF(B62="",(B61+1),(B62+1))</f>
        <v>17</v>
      </c>
      <c r="C65" s="45" t="str">
        <f>IF($J$10=TRUE,"Are the facilities adequate (location, floor, wall, lighting, production volume, maintenance and cleaning) to maintain Good Manufacturing Practices?","Existe um programa de controle de pragas implementado e eficaz?")</f>
        <v>Existe um programa de controle de pragas implementado e eficaz?</v>
      </c>
      <c r="D65" s="127"/>
      <c r="E65" s="127"/>
      <c r="F65" s="127"/>
      <c r="G65" s="127"/>
      <c r="H65" s="166"/>
      <c r="I65" s="166"/>
    </row>
    <row r="66" spans="2:9" ht="41.25" customHeight="1" x14ac:dyDescent="0.2">
      <c r="B66" s="60">
        <f>B65+1</f>
        <v>18</v>
      </c>
      <c r="C66" s="45" t="str">
        <f>IF($J$10=TRUE,"Were the facilities designed to follow a linear flow to avoid cross-contamination?","As instalações foram projetadas para seguir um fluxo linear, de modo a evitar a contaminação cruzada?")</f>
        <v>As instalações foram projetadas para seguir um fluxo linear, de modo a evitar a contaminação cruzada?</v>
      </c>
      <c r="D66" s="127"/>
      <c r="E66" s="127"/>
      <c r="F66" s="127"/>
      <c r="G66" s="127"/>
      <c r="H66" s="166"/>
      <c r="I66" s="166"/>
    </row>
    <row r="67" spans="2:9" ht="44.25" customHeight="1" x14ac:dyDescent="0.2">
      <c r="B67" s="60">
        <f>B66+1</f>
        <v>19</v>
      </c>
      <c r="C67" s="45" t="str">
        <f>IF($J$10=TRUE,"Does it have water potability control through analysis at an appropriate frequency?","Possui controle de potabilidade de água através de análises em freência adequada?")</f>
        <v>Possui controle de potabilidade de água através de análises em freência adequada?</v>
      </c>
      <c r="D67" s="127"/>
      <c r="E67" s="127"/>
      <c r="F67" s="127"/>
      <c r="G67" s="127"/>
      <c r="H67" s="166"/>
      <c r="I67" s="166"/>
    </row>
    <row r="68" spans="2:9" ht="25.5" x14ac:dyDescent="0.2">
      <c r="B68" s="60">
        <f>B67+1</f>
        <v>20</v>
      </c>
      <c r="C68" s="45" t="str">
        <f>IF($J$10=TRUE,"Is the water tank cleaned frequently?","É realizada a limpeza do reservatório de água em frequência adequada? ")</f>
        <v xml:space="preserve">É realizada a limpeza do reservatório de água em frequência adequada? </v>
      </c>
      <c r="D68" s="127"/>
      <c r="E68" s="127"/>
      <c r="F68" s="127"/>
      <c r="G68" s="127"/>
      <c r="H68" s="166"/>
      <c r="I68" s="166"/>
    </row>
    <row r="69" spans="2:9" x14ac:dyDescent="0.2">
      <c r="B69" s="36"/>
      <c r="I69" s="24"/>
    </row>
    <row r="70" spans="2:9" ht="15.75" x14ac:dyDescent="0.2">
      <c r="B70" s="167" t="str">
        <f>IF($J$10=TRUE,"ENVIRONMENTAL MANAGEMENT SYSTEM","SISTEMA DE GESTÃO AMBIENTAL")</f>
        <v>SISTEMA DE GESTÃO AMBIENTAL</v>
      </c>
      <c r="C70" s="168"/>
      <c r="D70" s="168"/>
      <c r="E70" s="168"/>
      <c r="F70" s="168"/>
      <c r="G70" s="168"/>
      <c r="H70" s="168"/>
      <c r="I70" s="169"/>
    </row>
    <row r="71" spans="2:9" ht="23.25" customHeight="1" x14ac:dyDescent="0.2">
      <c r="B71" s="170" t="str">
        <f>IF($J$10=TRUE,"Items (Answer the question with an X. If the answer is NA, please justify the answer at the Observation field.","Itens (Selecione a resposta com X) / Se NA, justificar em Observações")</f>
        <v>Itens (Selecione a resposta com X) / Se NA, justificar em Observações</v>
      </c>
      <c r="C71" s="171"/>
      <c r="D71" s="114" t="str">
        <f>IF($J$10=TRUE,"Yes","Sim")</f>
        <v>Sim</v>
      </c>
      <c r="E71" s="114" t="str">
        <f>IF($J$10=TRUE,"No","Não")</f>
        <v>Não</v>
      </c>
      <c r="F71" s="114" t="str">
        <f>IF($J$10=TRUE,"In progress","Em andamento")</f>
        <v>Em andamento</v>
      </c>
      <c r="G71" s="113" t="str">
        <f>IF($J$10=TRUE,"NA (not applicable)","NA")</f>
        <v>NA</v>
      </c>
      <c r="H71" s="172" t="str">
        <f>IF($J$10=TRUE,"Observation","Observações")</f>
        <v>Observações</v>
      </c>
      <c r="I71" s="173"/>
    </row>
    <row r="72" spans="2:9" ht="25.5" x14ac:dyDescent="0.2">
      <c r="B72" s="60">
        <f>B68+1</f>
        <v>21</v>
      </c>
      <c r="C72" s="45" t="str">
        <f>IF($J$10=TRUE,"Does the company have liquid and solid waste treatments?","A empresa possuí tratamentos de resíduos líquidos e sólidos?")</f>
        <v>A empresa possuí tratamentos de resíduos líquidos e sólidos?</v>
      </c>
      <c r="D72" s="127"/>
      <c r="E72" s="127"/>
      <c r="F72" s="127"/>
      <c r="G72" s="127"/>
      <c r="H72" s="166"/>
      <c r="I72" s="166"/>
    </row>
    <row r="73" spans="2:9" ht="41.25" customHeight="1" x14ac:dyDescent="0.2">
      <c r="B73" s="60">
        <f>B72+1</f>
        <v>22</v>
      </c>
      <c r="C73" s="45" t="str">
        <f>IF($J$10=TRUE,"Are the manufactured products biodegradable, resulting in no changes to the effluent treatment system?","Os produtos fabricados são biodegradáveis não conferindo alteração em sistema de tratamento de efluentes?")</f>
        <v>Os produtos fabricados são biodegradáveis não conferindo alteração em sistema de tratamento de efluentes?</v>
      </c>
      <c r="D73" s="127"/>
      <c r="E73" s="127"/>
      <c r="F73" s="127"/>
      <c r="G73" s="127"/>
      <c r="H73" s="166"/>
      <c r="I73" s="166"/>
    </row>
    <row r="74" spans="2:9" ht="25.5" x14ac:dyDescent="0.2">
      <c r="B74" s="60">
        <f>B73+1</f>
        <v>23</v>
      </c>
      <c r="C74" s="45" t="str">
        <f>IF($J$10=TRUE,"Does the company undergo fire inspection?","A empresa está vigente com a vistoria dos bombeiros?")</f>
        <v>A empresa está vigente com a vistoria dos bombeiros?</v>
      </c>
      <c r="D74" s="127"/>
      <c r="E74" s="127"/>
      <c r="F74" s="127"/>
      <c r="G74" s="127"/>
      <c r="H74" s="166"/>
      <c r="I74" s="166"/>
    </row>
    <row r="75" spans="2:9" ht="39.75" customHeight="1" x14ac:dyDescent="0.2">
      <c r="B75" s="60">
        <f>B74+1</f>
        <v>24</v>
      </c>
      <c r="C75" s="45" t="str">
        <f>IF($J$10=TRUE,"Are there catchment wells? Do they have authorization from the competent bodies?","Existem poços de captação? Os mesmos possuem outorga emitida pelo DAEE/ANA?")</f>
        <v>Existem poços de captação? Os mesmos possuem outorga emitida pelo DAEE/ANA?</v>
      </c>
      <c r="D75" s="127"/>
      <c r="E75" s="127"/>
      <c r="F75" s="127"/>
      <c r="G75" s="127"/>
      <c r="H75" s="166"/>
      <c r="I75" s="166"/>
    </row>
    <row r="76" spans="2:9" x14ac:dyDescent="0.2">
      <c r="B76" s="36"/>
      <c r="I76" s="24"/>
    </row>
    <row r="77" spans="2:9" ht="15.75" x14ac:dyDescent="0.2">
      <c r="B77" s="224" t="str">
        <f>IF($J$10=TRUE,"RECEIPT, STORAGE AND DISPATCH OF PRODUCTS","RECEBIMENTO, ARMAZENAMENTO E EXPEDIÇÃO DE PRODUTOS")</f>
        <v>RECEBIMENTO, ARMAZENAMENTO E EXPEDIÇÃO DE PRODUTOS</v>
      </c>
      <c r="C77" s="224"/>
      <c r="D77" s="224"/>
      <c r="E77" s="224"/>
      <c r="F77" s="224"/>
      <c r="G77" s="224"/>
      <c r="H77" s="224"/>
      <c r="I77" s="224"/>
    </row>
    <row r="78" spans="2:9" ht="28.5" customHeight="1" x14ac:dyDescent="0.2">
      <c r="B78" s="170" t="str">
        <f>IF($J$10=TRUE,"Items (Answer the question with an X. If the answer is NA, please justify the answer at the Observation field.","Itens (Selecione a resposta com X) / Se NA, justificar em Observações")</f>
        <v>Itens (Selecione a resposta com X) / Se NA, justificar em Observações</v>
      </c>
      <c r="C78" s="171"/>
      <c r="D78" s="114" t="str">
        <f>IF($J$10=TRUE,"Yes","Sim")</f>
        <v>Sim</v>
      </c>
      <c r="E78" s="114" t="str">
        <f>IF($J$10=TRUE,"No","Não")</f>
        <v>Não</v>
      </c>
      <c r="F78" s="114" t="str">
        <f>IF($J$10=TRUE,"In progress","Em andamento")</f>
        <v>Em andamento</v>
      </c>
      <c r="G78" s="113" t="str">
        <f>IF($J$10=TRUE,"NA (not applicable)","NA")</f>
        <v>NA</v>
      </c>
      <c r="H78" s="172" t="str">
        <f>IF($J$10=TRUE,"Observation","Observações")</f>
        <v>Observações</v>
      </c>
      <c r="I78" s="173"/>
    </row>
    <row r="79" spans="2:9" ht="78.75" customHeight="1" x14ac:dyDescent="0.2">
      <c r="B79" s="60">
        <f>B75+1</f>
        <v>25</v>
      </c>
      <c r="C79" s="45" t="str">
        <f>IF($J$10=TRUE,"Are the vehicles that transport products in good hygiene conditions, covered, and free from pests and other contaminants? Are vehicles inspected during receipt and dispatch?","Veiculos que fazem o transporte dos produtos apresentadam boas condições de higiene, são cobertos, ausentes de pragas e outros contaminantes?  Os veículos são inspecionados durante o recebimento e expedição?")</f>
        <v>Veiculos que fazem o transporte dos produtos apresentadam boas condições de higiene, são cobertos, ausentes de pragas e outros contaminantes?  Os veículos são inspecionados durante o recebimento e expedição?</v>
      </c>
      <c r="D79" s="127"/>
      <c r="E79" s="127"/>
      <c r="F79" s="127"/>
      <c r="G79" s="127"/>
      <c r="H79" s="166"/>
      <c r="I79" s="166"/>
    </row>
    <row r="80" spans="2:9" ht="55.5" customHeight="1" x14ac:dyDescent="0.2">
      <c r="B80" s="60">
        <f>B79+1</f>
        <v>26</v>
      </c>
      <c r="C80" s="45" t="str">
        <f>IF($J$10=TRUE,"Are products stored in appropriate conditions, regarding temperature, humidity, absence of sunlight and away from walls?","Produtos estão armazenados em condições adequadas, quanto à temperatura, umidade, ausência de luz solar e distantes das paredes?")</f>
        <v>Produtos estão armazenados em condições adequadas, quanto à temperatura, umidade, ausência de luz solar e distantes das paredes?</v>
      </c>
      <c r="D80" s="127"/>
      <c r="E80" s="127"/>
      <c r="F80" s="127"/>
      <c r="G80" s="127"/>
      <c r="H80" s="166"/>
      <c r="I80" s="166"/>
    </row>
    <row r="81" spans="2:9" x14ac:dyDescent="0.2">
      <c r="B81" s="36"/>
      <c r="I81" s="24"/>
    </row>
    <row r="82" spans="2:9" ht="15.75" x14ac:dyDescent="0.2">
      <c r="B82" s="167" t="str">
        <f>IF($J$10=TRUE,"CROSS CONTAMINATION","CONTAMINAÇÃO CRUZADA")</f>
        <v>CONTAMINAÇÃO CRUZADA</v>
      </c>
      <c r="C82" s="168"/>
      <c r="D82" s="168"/>
      <c r="E82" s="168"/>
      <c r="F82" s="168"/>
      <c r="G82" s="168"/>
      <c r="H82" s="168"/>
      <c r="I82" s="169"/>
    </row>
    <row r="83" spans="2:9" ht="24.75" customHeight="1" x14ac:dyDescent="0.2">
      <c r="B83" s="170" t="str">
        <f>IF($J$10=TRUE,"Items (Answer the question with an X. If the answer is NA, please justify the answer at the Observation field.","Itens (Selecione a resposta com X) / Se NA, justificar em Observações")</f>
        <v>Itens (Selecione a resposta com X) / Se NA, justificar em Observações</v>
      </c>
      <c r="C83" s="171"/>
      <c r="D83" s="114" t="str">
        <f>IF($J$10=TRUE,"Yes","Sim")</f>
        <v>Sim</v>
      </c>
      <c r="E83" s="114" t="str">
        <f>IF($J$10=TRUE,"No","Não")</f>
        <v>Não</v>
      </c>
      <c r="F83" s="114" t="str">
        <f>IF($J$10=TRUE,"In progress","Em andamento")</f>
        <v>Em andamento</v>
      </c>
      <c r="G83" s="113" t="str">
        <f>IF($J$10=TRUE,"NA (not applicable)","NA")</f>
        <v>NA</v>
      </c>
      <c r="H83" s="172" t="str">
        <f>IF($J$10=TRUE,"Observation","Observações")</f>
        <v>Observações</v>
      </c>
      <c r="I83" s="173"/>
    </row>
    <row r="84" spans="2:9" ht="51" x14ac:dyDescent="0.2">
      <c r="B84" s="60">
        <f>B80+1</f>
        <v>27</v>
      </c>
      <c r="C84" s="45" t="str">
        <f>IF($J$10=TRUE,"Are all stages of the process carried out to ensure the safety and integrity of the final product?","Todas as etapas do processo são realizadas de forma a garantir a inocuidade e integridade do produto final?")</f>
        <v>Todas as etapas do processo são realizadas de forma a garantir a inocuidade e integridade do produto final?</v>
      </c>
      <c r="D84" s="127"/>
      <c r="E84" s="127"/>
      <c r="F84" s="127"/>
      <c r="G84" s="127"/>
      <c r="H84" s="166"/>
      <c r="I84" s="166"/>
    </row>
    <row r="85" spans="2:9" ht="25.5" x14ac:dyDescent="0.2">
      <c r="B85" s="60">
        <f>B84+1</f>
        <v>28</v>
      </c>
      <c r="C85" s="45" t="str">
        <f>IF($J$10=TRUE,"Are measures implemented to prevent cross-contamination?","São implementadas medidas para prevenir contaminação cruzada?")</f>
        <v>São implementadas medidas para prevenir contaminação cruzada?</v>
      </c>
      <c r="D85" s="127"/>
      <c r="E85" s="127"/>
      <c r="F85" s="127"/>
      <c r="G85" s="127"/>
      <c r="H85" s="166"/>
      <c r="I85" s="166"/>
    </row>
    <row r="86" spans="2:9" ht="66.75" customHeight="1" x14ac:dyDescent="0.2">
      <c r="B86" s="60">
        <f>B85+1</f>
        <v>29</v>
      </c>
      <c r="C86" s="45" t="str">
        <f>IF($J$10=TRUE,"Are the chemical and cleaning products used suitable, approved for use by the competent body and stored in a separate location with controlled access?","Os produtos quimicos e de limpeza que são utilizados são adequados, estão aprovados para uso pelo órgão competente e são armazenado em local separado com acesso controlado?")</f>
        <v>Os produtos quimicos e de limpeza que são utilizados são adequados, estão aprovados para uso pelo órgão competente e são armazenado em local separado com acesso controlado?</v>
      </c>
      <c r="D86" s="127"/>
      <c r="E86" s="127"/>
      <c r="F86" s="127"/>
      <c r="G86" s="127"/>
      <c r="H86" s="166"/>
      <c r="I86" s="166"/>
    </row>
    <row r="87" spans="2:9" ht="38.25" x14ac:dyDescent="0.2">
      <c r="B87" s="60">
        <f>B86+1</f>
        <v>30</v>
      </c>
      <c r="C87" s="45" t="str">
        <f>IF($J$10=TRUE,"When lubricants are used in contact areas with the product, are they food grade?","Quando utilizado lubrificantes em locais de contato com o produto, estes são de grau alimentício?")</f>
        <v>Quando utilizado lubrificantes em locais de contato com o produto, estes são de grau alimentício?</v>
      </c>
      <c r="D87" s="127"/>
      <c r="E87" s="127"/>
      <c r="F87" s="127"/>
      <c r="G87" s="127"/>
      <c r="H87" s="166"/>
      <c r="I87" s="166"/>
    </row>
    <row r="88" spans="2:9" x14ac:dyDescent="0.2">
      <c r="B88" s="36"/>
      <c r="I88" s="24"/>
    </row>
    <row r="89" spans="2:9" ht="15.75" x14ac:dyDescent="0.2">
      <c r="B89" s="167" t="str">
        <f>IF($J$10=TRUE,"MAINTENANCE AND CALIBRATION","MANUTENÇÃO E CALIBRAÇÃO")</f>
        <v>MANUTENÇÃO E CALIBRAÇÃO</v>
      </c>
      <c r="C89" s="168"/>
      <c r="D89" s="168"/>
      <c r="E89" s="168"/>
      <c r="F89" s="168"/>
      <c r="G89" s="168"/>
      <c r="H89" s="168"/>
      <c r="I89" s="169"/>
    </row>
    <row r="90" spans="2:9" ht="28.5" customHeight="1" x14ac:dyDescent="0.2">
      <c r="B90" s="170" t="str">
        <f>IF($J$10=TRUE,"Items (Answer the question with an X. If the answer is NA, please justify the answer at the Observation field.","Itens (Selecione a resposta com X) / Se NA, justificar em Observações")</f>
        <v>Itens (Selecione a resposta com X) / Se NA, justificar em Observações</v>
      </c>
      <c r="C90" s="171"/>
      <c r="D90" s="114" t="str">
        <f>IF($J$10=TRUE,"Yes","Sim")</f>
        <v>Sim</v>
      </c>
      <c r="E90" s="114" t="str">
        <f>IF($J$10=TRUE,"No","Não")</f>
        <v>Não</v>
      </c>
      <c r="F90" s="114" t="str">
        <f>IF($J$10=TRUE,"In progress","Em andamento")</f>
        <v>Em andamento</v>
      </c>
      <c r="G90" s="113" t="str">
        <f>IF($J$10=TRUE,"NA (not applicable)","NA")</f>
        <v>NA</v>
      </c>
      <c r="H90" s="172" t="str">
        <f>IF($J$10=TRUE,"Observation","Observações")</f>
        <v>Observações</v>
      </c>
      <c r="I90" s="173"/>
    </row>
    <row r="91" spans="2:9" ht="38.25" x14ac:dyDescent="0.2">
      <c r="B91" s="60">
        <f>B87+1</f>
        <v>31</v>
      </c>
      <c r="C91" s="45" t="str">
        <f>IF($J$10=TRUE,"Is there a documented preventative maintenance program for equipment?","Existe um programa documentado para manutenção preventiva dos equipamentos?")</f>
        <v>Existe um programa documentado para manutenção preventiva dos equipamentos?</v>
      </c>
      <c r="D91" s="127"/>
      <c r="E91" s="127"/>
      <c r="F91" s="127"/>
      <c r="G91" s="127"/>
      <c r="H91" s="225"/>
      <c r="I91" s="226"/>
    </row>
    <row r="92" spans="2:9" ht="25.5" x14ac:dyDescent="0.2">
      <c r="B92" s="60">
        <f>B91+1</f>
        <v>32</v>
      </c>
      <c r="C92" s="45" t="str">
        <f>IF($J$10=TRUE,"Do you perform equipment and instrument calibration?","Realiza calibração de equipamento e instrumentos?")</f>
        <v>Realiza calibração de equipamento e instrumentos?</v>
      </c>
      <c r="D92" s="127"/>
      <c r="E92" s="127"/>
      <c r="F92" s="127"/>
      <c r="G92" s="127"/>
      <c r="H92" s="166"/>
      <c r="I92" s="166"/>
    </row>
    <row r="93" spans="2:9" x14ac:dyDescent="0.2">
      <c r="B93" s="36"/>
      <c r="I93" s="24"/>
    </row>
    <row r="94" spans="2:9" ht="15.75" x14ac:dyDescent="0.2">
      <c r="B94" s="167" t="str">
        <f>IF($J$10=TRUE,"PRODUCTION PROCESS","PROCESSO DE PRODUÇÃO")</f>
        <v>PROCESSO DE PRODUÇÃO</v>
      </c>
      <c r="C94" s="168"/>
      <c r="D94" s="168"/>
      <c r="E94" s="168"/>
      <c r="F94" s="168"/>
      <c r="G94" s="168"/>
      <c r="H94" s="168"/>
      <c r="I94" s="169"/>
    </row>
    <row r="95" spans="2:9" ht="27.75" customHeight="1" x14ac:dyDescent="0.2">
      <c r="B95" s="170" t="str">
        <f>IF($J$10=TRUE,"Items (Answer the question with an X. If the answer is NA, please justify the answer at the Observation field.","Itens (Selecione a resposta com X) / Se NA, justificar em Observações")</f>
        <v>Itens (Selecione a resposta com X) / Se NA, justificar em Observações</v>
      </c>
      <c r="C95" s="171"/>
      <c r="D95" s="114" t="str">
        <f>IF($J$10=TRUE,"Yes","Sim")</f>
        <v>Sim</v>
      </c>
      <c r="E95" s="114" t="str">
        <f>IF($J$10=TRUE,"No","Não")</f>
        <v>Não</v>
      </c>
      <c r="F95" s="114" t="str">
        <f>IF($J$10=TRUE,"In progress","Em andamento")</f>
        <v>Em andamento</v>
      </c>
      <c r="G95" s="113" t="str">
        <f>IF($J$10=TRUE,"NA (not applicable)","NA")</f>
        <v>NA</v>
      </c>
      <c r="H95" s="172" t="str">
        <f>IF($J$10=TRUE,"Observation","Observações")</f>
        <v>Observações</v>
      </c>
      <c r="I95" s="173"/>
    </row>
    <row r="96" spans="2:9" ht="66.75" customHeight="1" x14ac:dyDescent="0.2">
      <c r="B96" s="60">
        <f>B92+1</f>
        <v>33</v>
      </c>
      <c r="C96" s="45" t="str">
        <f>IF($J$10=TRUE,"Are records kept of all controls carried out at all stages of processing, from the arrival of raw materials to the dispatch of the finished product?","São mantidos registros de todas os controles realizados em todas as etapas do processamento, desde a chegada da matéria-prima até a expedição do produto acabado?")</f>
        <v>São mantidos registros de todas os controles realizados em todas as etapas do processamento, desde a chegada da matéria-prima até a expedição do produto acabado?</v>
      </c>
      <c r="D96" s="127"/>
      <c r="E96" s="127"/>
      <c r="F96" s="127"/>
      <c r="G96" s="127"/>
      <c r="H96" s="225"/>
      <c r="I96" s="226"/>
    </row>
    <row r="97" spans="2:9" x14ac:dyDescent="0.2">
      <c r="B97" s="36"/>
      <c r="I97" s="24"/>
    </row>
    <row r="98" spans="2:9" ht="15.75" x14ac:dyDescent="0.2">
      <c r="B98" s="167" t="str">
        <f>IF($J$10=TRUE,"EMPLOYEES","COLABORADORES")</f>
        <v>COLABORADORES</v>
      </c>
      <c r="C98" s="168"/>
      <c r="D98" s="168"/>
      <c r="E98" s="168"/>
      <c r="F98" s="168"/>
      <c r="G98" s="168"/>
      <c r="H98" s="168"/>
      <c r="I98" s="169"/>
    </row>
    <row r="99" spans="2:9" ht="26.25" customHeight="1" x14ac:dyDescent="0.2">
      <c r="B99" s="170" t="str">
        <f>IF($J$10=TRUE,"Items (Answer the question with an X. If the answer is NA, please justify the answer at the Observation field.","Itens (Selecione a resposta com X) / Se NA, justificar em Observações")</f>
        <v>Itens (Selecione a resposta com X) / Se NA, justificar em Observações</v>
      </c>
      <c r="C99" s="171"/>
      <c r="D99" s="114" t="str">
        <f>IF($J$10=TRUE,"Yes","Sim")</f>
        <v>Sim</v>
      </c>
      <c r="E99" s="114" t="str">
        <f>IF($J$10=TRUE,"No","Não")</f>
        <v>Não</v>
      </c>
      <c r="F99" s="114" t="str">
        <f>IF($J$10=TRUE,"In progress","Em andamento")</f>
        <v>Em andamento</v>
      </c>
      <c r="G99" s="113" t="str">
        <f>IF($J$10=TRUE,"NA (not applicable)","NA")</f>
        <v>NA</v>
      </c>
      <c r="H99" s="172" t="str">
        <f>IF($J$10=TRUE,"Observation","Observações")</f>
        <v>Observações</v>
      </c>
      <c r="I99" s="173"/>
    </row>
    <row r="100" spans="2:9" ht="56.25" customHeight="1" x14ac:dyDescent="0.2">
      <c r="B100" s="60">
        <f>B96+1</f>
        <v>34</v>
      </c>
      <c r="C100" s="45" t="str">
        <f>IF($J$10=TRUE,"Do employees maintain adequate physical hygiene? Protected hair, clean uniforms, absence of adornments, etc.","Os funcionários matêm o asseio corporal adequado? cabelo protegidos, uniformes limpos, ausência de adornos, etc..")</f>
        <v>Os funcionários matêm o asseio corporal adequado? cabelo protegidos, uniformes limpos, ausência de adornos, etc..</v>
      </c>
      <c r="D100" s="127"/>
      <c r="E100" s="127"/>
      <c r="F100" s="127"/>
      <c r="G100" s="127"/>
      <c r="H100" s="166"/>
      <c r="I100" s="166"/>
    </row>
    <row r="101" spans="2:9" ht="25.5" x14ac:dyDescent="0.2">
      <c r="B101" s="60">
        <f>B100+1</f>
        <v>35</v>
      </c>
      <c r="C101" s="45" t="str">
        <f>IF($J$10=TRUE,"Do employees undergo admission and periodic exams?","Os funcionários fazem exames admissionais e periódicos?")</f>
        <v>Os funcionários fazem exames admissionais e periódicos?</v>
      </c>
      <c r="D101" s="127"/>
      <c r="E101" s="127"/>
      <c r="F101" s="127"/>
      <c r="G101" s="127"/>
      <c r="H101" s="166"/>
      <c r="I101" s="166"/>
    </row>
    <row r="102" spans="2:9" ht="51.75" customHeight="1" x14ac:dyDescent="0.2">
      <c r="B102" s="60">
        <f>B101+1</f>
        <v>36</v>
      </c>
      <c r="C102" s="45" t="str">
        <f>IF($J$10=TRUE,"Do all employees receive training regarding GMP and work instructions relating to their activities?","Todos os funcionários recebem treinamento relativo à BPF e as instruções de trabalho relativas as suas atividades?")</f>
        <v>Todos os funcionários recebem treinamento relativo à BPF e as instruções de trabalho relativas as suas atividades?</v>
      </c>
      <c r="D102" s="127"/>
      <c r="E102" s="127"/>
      <c r="F102" s="127"/>
      <c r="G102" s="127"/>
      <c r="H102" s="166"/>
      <c r="I102" s="166"/>
    </row>
    <row r="103" spans="2:9" x14ac:dyDescent="0.2">
      <c r="B103" s="36"/>
      <c r="I103" s="24"/>
    </row>
    <row r="104" spans="2:9" ht="15.75" x14ac:dyDescent="0.2">
      <c r="B104" s="167" t="s">
        <v>19</v>
      </c>
      <c r="C104" s="168"/>
      <c r="D104" s="168"/>
      <c r="E104" s="168"/>
      <c r="F104" s="168"/>
      <c r="G104" s="168"/>
      <c r="H104" s="168"/>
      <c r="I104" s="169"/>
    </row>
    <row r="105" spans="2:9" ht="26.25" customHeight="1" x14ac:dyDescent="0.2">
      <c r="B105" s="170" t="str">
        <f>IF($J$10=TRUE,"Items (Answer the question with an X. If the answer is NA, please justify the answer at the Observation field.","Itens (Selecione a resposta com X) / Se NA, justificar em Observações")</f>
        <v>Itens (Selecione a resposta com X) / Se NA, justificar em Observações</v>
      </c>
      <c r="C105" s="171"/>
      <c r="D105" s="114" t="str">
        <f>IF($J$10=TRUE,"Yes","Sim")</f>
        <v>Sim</v>
      </c>
      <c r="E105" s="114" t="str">
        <f>IF($J$10=TRUE,"No","Não")</f>
        <v>Não</v>
      </c>
      <c r="F105" s="114" t="str">
        <f>IF($J$10=TRUE,"In progress","Em andamento")</f>
        <v>Em andamento</v>
      </c>
      <c r="G105" s="113" t="str">
        <f>IF($J$10=TRUE,"NA (not applicable)","NA")</f>
        <v>NA</v>
      </c>
      <c r="H105" s="172" t="str">
        <f>IF($J$10=TRUE,"Observation","Observações")</f>
        <v>Observações</v>
      </c>
      <c r="I105" s="173"/>
    </row>
    <row r="106" spans="2:9" ht="51" x14ac:dyDescent="0.2">
      <c r="B106" s="60">
        <f>B102+1</f>
        <v>37</v>
      </c>
      <c r="C106" s="45" t="str">
        <f>IF($J$10=TRUE,"Is there an implemented and effective FOOD DEFENSE program? If not, what are the preventative measures against sabotage?","Existe um programa de FOOD DEFENSE  implementado e eficaz? Caso não tenha, quais a medidas preventivas contra sabotagens?")</f>
        <v>Existe um programa de FOOD DEFENSE  implementado e eficaz? Caso não tenha, quais a medidas preventivas contra sabotagens?</v>
      </c>
      <c r="D106" s="127"/>
      <c r="E106" s="130"/>
      <c r="F106" s="127"/>
      <c r="G106" s="127"/>
      <c r="H106" s="166"/>
      <c r="I106" s="166"/>
    </row>
    <row r="108" spans="2:9" ht="27.75" customHeight="1" x14ac:dyDescent="0.2">
      <c r="B108" s="177" t="str">
        <f>IF($J$10=TRUE,"I declare that all information is true and that any changes in the manufacturing process, specification, or any other changes that impact the quality and/or traceability of the product supplied will be duly communicated to ICC Brazil.","Declaro que todas as informações são verídicas e que qualquer alteração no processo de fabricação, especificação, ou quaisquer outras mudanças que impactem na qualidade e/ou rastreabilidade do produto fornecido serão devidamente comunicados a ICC Brazil.")</f>
        <v>Declaro que todas as informações são verídicas e que qualquer alteração no processo de fabricação, especificação, ou quaisquer outras mudanças que impactem na qualidade e/ou rastreabilidade do produto fornecido serão devidamente comunicados a ICC Brazil.</v>
      </c>
      <c r="C108" s="177"/>
      <c r="D108" s="177"/>
      <c r="E108" s="177"/>
      <c r="F108" s="177"/>
      <c r="G108" s="177"/>
      <c r="H108" s="177"/>
      <c r="I108" s="177"/>
    </row>
    <row r="109" spans="2:9" x14ac:dyDescent="0.2">
      <c r="C109" s="48"/>
      <c r="D109"/>
      <c r="E109"/>
      <c r="F109"/>
      <c r="G109"/>
      <c r="H109"/>
    </row>
    <row r="110" spans="2:9" x14ac:dyDescent="0.2">
      <c r="C110" s="65" t="str">
        <f>IF($J$10=TRUE,"Responsible for completing:","Responsável pelo preenchimento:")</f>
        <v>Responsável pelo preenchimento:</v>
      </c>
      <c r="D110" s="166"/>
      <c r="E110" s="166"/>
      <c r="F110" s="166"/>
      <c r="G110" s="166"/>
      <c r="H110" s="166"/>
    </row>
    <row r="111" spans="2:9" x14ac:dyDescent="0.2">
      <c r="C111" s="65" t="str">
        <f>IF($J$10=TRUE,"Job Title:","Cargo:")</f>
        <v>Cargo:</v>
      </c>
      <c r="D111" s="166"/>
      <c r="E111" s="166"/>
      <c r="F111" s="166"/>
      <c r="G111" s="166"/>
      <c r="H111" s="166"/>
    </row>
    <row r="112" spans="2:9" x14ac:dyDescent="0.2">
      <c r="C112" s="65" t="str">
        <f>IF($J$10=TRUE,"Date:","Data:")</f>
        <v>Data:</v>
      </c>
      <c r="D112" s="166"/>
      <c r="E112" s="166"/>
      <c r="F112" s="166"/>
      <c r="G112" s="166"/>
      <c r="H112" s="166"/>
    </row>
    <row r="113" spans="3:8" x14ac:dyDescent="0.2">
      <c r="C113" s="48"/>
      <c r="D113"/>
      <c r="E113"/>
      <c r="F113"/>
      <c r="G113"/>
      <c r="H113"/>
    </row>
    <row r="114" spans="3:8" x14ac:dyDescent="0.2">
      <c r="C114" s="48"/>
      <c r="D114"/>
      <c r="E114"/>
      <c r="F114"/>
      <c r="G114"/>
      <c r="H114"/>
    </row>
    <row r="115" spans="3:8" x14ac:dyDescent="0.2">
      <c r="C115" s="48"/>
      <c r="D115"/>
      <c r="E115"/>
      <c r="F115"/>
      <c r="G115"/>
      <c r="H115"/>
    </row>
    <row r="116" spans="3:8" x14ac:dyDescent="0.2">
      <c r="C116" s="181"/>
      <c r="D116" s="181"/>
      <c r="E116" s="181"/>
      <c r="F116" s="181"/>
      <c r="G116" s="181"/>
      <c r="H116" s="181"/>
    </row>
    <row r="117" spans="3:8" x14ac:dyDescent="0.2">
      <c r="C117" s="175" t="str">
        <f>IF($J$10=TRUE,"Signature","Assinatura")</f>
        <v>Assinatura</v>
      </c>
      <c r="D117" s="176"/>
      <c r="E117" s="176"/>
      <c r="F117" s="176"/>
      <c r="G117" s="176"/>
      <c r="H117" s="176"/>
    </row>
  </sheetData>
  <sheetProtection algorithmName="SHA-512" hashValue="q3OsuisSyWFqDx1ur4u9NWaR30oB/sutP5o5IcmCU8482MQ7xCSL5It2NRSgLNsuMtRyb8Q4aIN58oHWErzm/Q==" saltValue="Eq69JMZ5en7i6lqVtcc79A==" spinCount="100000" sheet="1"/>
  <mergeCells count="118">
    <mergeCell ref="C20:H20"/>
    <mergeCell ref="D27:E27"/>
    <mergeCell ref="D28:E28"/>
    <mergeCell ref="D29:E29"/>
    <mergeCell ref="D30:E30"/>
    <mergeCell ref="D31:E31"/>
    <mergeCell ref="D32:E32"/>
    <mergeCell ref="F31:H31"/>
    <mergeCell ref="H106:I106"/>
    <mergeCell ref="H101:I101"/>
    <mergeCell ref="H102:I102"/>
    <mergeCell ref="H100:I100"/>
    <mergeCell ref="B104:I104"/>
    <mergeCell ref="F32:H32"/>
    <mergeCell ref="F33:H33"/>
    <mergeCell ref="F34:H34"/>
    <mergeCell ref="D21:E21"/>
    <mergeCell ref="D22:E22"/>
    <mergeCell ref="D23:E23"/>
    <mergeCell ref="D24:E24"/>
    <mergeCell ref="D25:E25"/>
    <mergeCell ref="D26:E26"/>
    <mergeCell ref="F25:H25"/>
    <mergeCell ref="D33:E33"/>
    <mergeCell ref="F22:H22"/>
    <mergeCell ref="H85:I85"/>
    <mergeCell ref="H79:I79"/>
    <mergeCell ref="H80:I80"/>
    <mergeCell ref="B82:I82"/>
    <mergeCell ref="B83:C83"/>
    <mergeCell ref="B90:C90"/>
    <mergeCell ref="B105:C105"/>
    <mergeCell ref="H105:I105"/>
    <mergeCell ref="B94:I94"/>
    <mergeCell ref="B95:C95"/>
    <mergeCell ref="H95:I95"/>
    <mergeCell ref="F26:H26"/>
    <mergeCell ref="F27:H27"/>
    <mergeCell ref="F28:H28"/>
    <mergeCell ref="F29:H29"/>
    <mergeCell ref="F30:H30"/>
    <mergeCell ref="H86:I86"/>
    <mergeCell ref="H96:I96"/>
    <mergeCell ref="B98:I98"/>
    <mergeCell ref="B99:C99"/>
    <mergeCell ref="H99:I99"/>
    <mergeCell ref="H91:I91"/>
    <mergeCell ref="H92:I92"/>
    <mergeCell ref="H90:I90"/>
    <mergeCell ref="H87:I87"/>
    <mergeCell ref="B89:I89"/>
    <mergeCell ref="H83:I83"/>
    <mergeCell ref="H84:I84"/>
    <mergeCell ref="H72:I72"/>
    <mergeCell ref="H73:I73"/>
    <mergeCell ref="H74:I74"/>
    <mergeCell ref="H75:I75"/>
    <mergeCell ref="B77:I77"/>
    <mergeCell ref="B78:C78"/>
    <mergeCell ref="H78:I78"/>
    <mergeCell ref="H57:I57"/>
    <mergeCell ref="H58:I58"/>
    <mergeCell ref="H59:I59"/>
    <mergeCell ref="H65:I65"/>
    <mergeCell ref="H66:I66"/>
    <mergeCell ref="H67:I67"/>
    <mergeCell ref="H68:I68"/>
    <mergeCell ref="B70:I70"/>
    <mergeCell ref="B71:C71"/>
    <mergeCell ref="H71:I71"/>
    <mergeCell ref="B14:C14"/>
    <mergeCell ref="B15:C15"/>
    <mergeCell ref="G37:J37"/>
    <mergeCell ref="H43:I43"/>
    <mergeCell ref="H44:I44"/>
    <mergeCell ref="J1:J2"/>
    <mergeCell ref="J3:J4"/>
    <mergeCell ref="C13:H13"/>
    <mergeCell ref="C10:H10"/>
    <mergeCell ref="A1:B4"/>
    <mergeCell ref="C1:I4"/>
    <mergeCell ref="C11:H11"/>
    <mergeCell ref="C12:H12"/>
    <mergeCell ref="B41:I41"/>
    <mergeCell ref="B42:C42"/>
    <mergeCell ref="H42:I42"/>
    <mergeCell ref="D14:H14"/>
    <mergeCell ref="F23:H23"/>
    <mergeCell ref="F24:H24"/>
    <mergeCell ref="B5:H5"/>
    <mergeCell ref="E6:F6"/>
    <mergeCell ref="B40:I40"/>
    <mergeCell ref="F21:H21"/>
    <mergeCell ref="D34:E34"/>
    <mergeCell ref="C116:H116"/>
    <mergeCell ref="C117:H117"/>
    <mergeCell ref="D15:H15"/>
    <mergeCell ref="D112:H112"/>
    <mergeCell ref="B108:I108"/>
    <mergeCell ref="D110:H110"/>
    <mergeCell ref="D111:H111"/>
    <mergeCell ref="H53:I53"/>
    <mergeCell ref="B53:C53"/>
    <mergeCell ref="H45:I45"/>
    <mergeCell ref="H55:I55"/>
    <mergeCell ref="H56:I56"/>
    <mergeCell ref="H54:I54"/>
    <mergeCell ref="H46:I46"/>
    <mergeCell ref="H50:I50"/>
    <mergeCell ref="H60:I60"/>
    <mergeCell ref="B52:I52"/>
    <mergeCell ref="H47:I47"/>
    <mergeCell ref="H48:I48"/>
    <mergeCell ref="H49:I49"/>
    <mergeCell ref="H61:I61"/>
    <mergeCell ref="B63:I63"/>
    <mergeCell ref="B64:C64"/>
    <mergeCell ref="H64:I64"/>
  </mergeCells>
  <phoneticPr fontId="13" type="noConversion"/>
  <dataValidations count="1">
    <dataValidation type="list" allowBlank="1" showInputMessage="1" showErrorMessage="1" sqref="D22:E34">
      <formula1>"SIM/YES,NÃO/NO"</formula1>
    </dataValidation>
  </dataValidations>
  <pageMargins left="0.511811024" right="0.511811024" top="0.78740157499999996" bottom="0.78740157499999996" header="0.31496062000000002" footer="0.31496062000000002"/>
  <pageSetup paperSize="9" orientation="portrait" horizontalDpi="0"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34357" r:id="rId4" name="Check Box 1589">
              <controlPr locked="0" defaultSize="0" autoFill="0" autoLine="0" autoPict="0">
                <anchor moveWithCells="1">
                  <from>
                    <xdr:col>3</xdr:col>
                    <xdr:colOff>171450</xdr:colOff>
                    <xdr:row>4</xdr:row>
                    <xdr:rowOff>371475</xdr:rowOff>
                  </from>
                  <to>
                    <xdr:col>5</xdr:col>
                    <xdr:colOff>361950</xdr:colOff>
                    <xdr:row>6</xdr:row>
                    <xdr:rowOff>76200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7"/>
  <dimension ref="A1:K87"/>
  <sheetViews>
    <sheetView showGridLines="0" zoomScaleNormal="100" workbookViewId="0">
      <selection activeCell="J5" sqref="J5"/>
    </sheetView>
  </sheetViews>
  <sheetFormatPr defaultColWidth="0" defaultRowHeight="12.75" x14ac:dyDescent="0.2"/>
  <cols>
    <col min="1" max="1" width="4.5703125" customWidth="1"/>
    <col min="2" max="2" width="18.7109375" customWidth="1"/>
    <col min="3" max="3" width="39.7109375" customWidth="1"/>
    <col min="4" max="5" width="7.7109375" customWidth="1"/>
    <col min="6" max="6" width="20.7109375" customWidth="1"/>
    <col min="7" max="7" width="7.7109375" customWidth="1"/>
    <col min="8" max="8" width="20.7109375" customWidth="1"/>
    <col min="9" max="9" width="18.7109375" customWidth="1"/>
    <col min="10" max="10" width="15.42578125" customWidth="1"/>
    <col min="11" max="11" width="15.5703125" hidden="1" customWidth="1"/>
  </cols>
  <sheetData>
    <row r="1" spans="1:10" ht="12.75" customHeight="1" x14ac:dyDescent="0.2">
      <c r="A1" s="195"/>
      <c r="B1" s="196"/>
      <c r="C1" s="193" t="s">
        <v>16</v>
      </c>
      <c r="D1" s="159"/>
      <c r="E1" s="159"/>
      <c r="F1" s="159"/>
      <c r="G1" s="159"/>
      <c r="H1" s="159"/>
      <c r="I1" s="160"/>
      <c r="J1" s="147" t="s">
        <v>42</v>
      </c>
    </row>
    <row r="2" spans="1:10" ht="12.75" customHeight="1" x14ac:dyDescent="0.2">
      <c r="A2" s="197"/>
      <c r="B2" s="198"/>
      <c r="C2" s="193"/>
      <c r="D2" s="159"/>
      <c r="E2" s="159"/>
      <c r="F2" s="159"/>
      <c r="G2" s="159"/>
      <c r="H2" s="159"/>
      <c r="I2" s="160"/>
      <c r="J2" s="148"/>
    </row>
    <row r="3" spans="1:10" ht="12.75" customHeight="1" x14ac:dyDescent="0.2">
      <c r="A3" s="197"/>
      <c r="B3" s="198"/>
      <c r="C3" s="193"/>
      <c r="D3" s="159"/>
      <c r="E3" s="159"/>
      <c r="F3" s="159"/>
      <c r="G3" s="159"/>
      <c r="H3" s="159"/>
      <c r="I3" s="160"/>
      <c r="J3" s="148" t="s">
        <v>80</v>
      </c>
    </row>
    <row r="4" spans="1:10" ht="19.5" customHeight="1" thickBot="1" x14ac:dyDescent="0.25">
      <c r="A4" s="199"/>
      <c r="B4" s="200"/>
      <c r="C4" s="194"/>
      <c r="D4" s="161"/>
      <c r="E4" s="161"/>
      <c r="F4" s="161"/>
      <c r="G4" s="161"/>
      <c r="H4" s="161"/>
      <c r="I4" s="162"/>
      <c r="J4" s="149"/>
    </row>
    <row r="5" spans="1:10" ht="27" customHeight="1" x14ac:dyDescent="0.2">
      <c r="B5" s="203" t="s">
        <v>43</v>
      </c>
      <c r="C5" s="203"/>
      <c r="D5" s="203"/>
      <c r="E5" s="203"/>
      <c r="F5" s="203"/>
      <c r="G5" s="203"/>
      <c r="H5" s="203"/>
    </row>
    <row r="6" spans="1:10" x14ac:dyDescent="0.2">
      <c r="B6" s="10"/>
      <c r="C6" s="111"/>
      <c r="D6" s="10"/>
      <c r="E6" s="214"/>
      <c r="F6" s="214"/>
    </row>
    <row r="7" spans="1:10" x14ac:dyDescent="0.2">
      <c r="B7" s="10"/>
      <c r="C7" s="10"/>
      <c r="D7" s="10"/>
      <c r="E7" s="10"/>
      <c r="F7" s="10"/>
    </row>
    <row r="8" spans="1:10" ht="11.25" customHeight="1" x14ac:dyDescent="0.2">
      <c r="B8" s="19"/>
      <c r="C8" s="20"/>
      <c r="D8" s="20"/>
      <c r="E8" s="20"/>
      <c r="F8" s="20"/>
      <c r="G8" s="21"/>
      <c r="H8" s="21"/>
      <c r="I8" s="22"/>
    </row>
    <row r="9" spans="1:10" x14ac:dyDescent="0.2">
      <c r="B9" s="23"/>
      <c r="C9" s="10"/>
      <c r="D9" s="10"/>
      <c r="E9" s="10"/>
      <c r="F9" s="10"/>
      <c r="I9" s="24"/>
    </row>
    <row r="10" spans="1:10" ht="18" customHeight="1" x14ac:dyDescent="0.25">
      <c r="B10" s="25" t="str">
        <f>IF($J$10=TRUE,"Corporate Name:","Razão Social:")</f>
        <v>Razão Social:</v>
      </c>
      <c r="C10" s="204"/>
      <c r="D10" s="204"/>
      <c r="E10" s="204"/>
      <c r="F10" s="204"/>
      <c r="G10" s="204"/>
      <c r="H10" s="204"/>
      <c r="I10" s="26"/>
      <c r="J10" s="128" t="b">
        <v>0</v>
      </c>
    </row>
    <row r="11" spans="1:10" ht="18" customHeight="1" x14ac:dyDescent="0.25">
      <c r="B11" s="25" t="str">
        <f>IF($J$10=TRUE,"Fantasy Name:","Nome Fantasia:")</f>
        <v>Nome Fantasia:</v>
      </c>
      <c r="C11" s="204"/>
      <c r="D11" s="204"/>
      <c r="E11" s="204"/>
      <c r="F11" s="204"/>
      <c r="G11" s="204"/>
      <c r="H11" s="204"/>
      <c r="I11" s="24"/>
    </row>
    <row r="12" spans="1:10" ht="18" customHeight="1" x14ac:dyDescent="0.25">
      <c r="B12" s="25" t="str">
        <f>IF($J$10=TRUE,"TIN:","CNPJ:")</f>
        <v>CNPJ:</v>
      </c>
      <c r="C12" s="204"/>
      <c r="D12" s="204"/>
      <c r="E12" s="204"/>
      <c r="F12" s="204"/>
      <c r="G12" s="204"/>
      <c r="H12" s="204"/>
      <c r="I12" s="26"/>
    </row>
    <row r="13" spans="1:10" ht="18" customHeight="1" x14ac:dyDescent="0.25">
      <c r="B13" s="25" t="str">
        <f>IF($J$10=TRUE,"Adress:","Endereço:")</f>
        <v>Endereço:</v>
      </c>
      <c r="C13" s="204"/>
      <c r="D13" s="204"/>
      <c r="E13" s="204"/>
      <c r="F13" s="204"/>
      <c r="G13" s="204"/>
      <c r="H13" s="204"/>
      <c r="I13" s="26"/>
    </row>
    <row r="14" spans="1:10" ht="18" customHeight="1" x14ac:dyDescent="0.2">
      <c r="B14" s="164" t="str">
        <f>IF($J$10=TRUE,"Product supplied to ICC Brazil:","Produto (s) fornecido (s) para a ICC:")</f>
        <v>Produto (s) fornecido (s) para a ICC:</v>
      </c>
      <c r="C14" s="165"/>
      <c r="D14" s="227"/>
      <c r="E14" s="227"/>
      <c r="F14" s="227"/>
      <c r="G14" s="227"/>
      <c r="H14" s="227"/>
      <c r="I14" s="24"/>
    </row>
    <row r="15" spans="1:10" ht="18" customHeight="1" x14ac:dyDescent="0.2">
      <c r="B15" s="164" t="str">
        <f>IF($J$10=TRUE,"CEO:","Responsável Técnico:")</f>
        <v>Responsável Técnico:</v>
      </c>
      <c r="C15" s="165"/>
      <c r="D15" s="227"/>
      <c r="E15" s="227"/>
      <c r="F15" s="227"/>
      <c r="G15" s="227"/>
      <c r="H15" s="227"/>
      <c r="I15" s="24"/>
    </row>
    <row r="16" spans="1:10" x14ac:dyDescent="0.2">
      <c r="B16" s="28"/>
      <c r="C16" s="29"/>
      <c r="D16" s="29"/>
      <c r="E16" s="29"/>
      <c r="F16" s="29"/>
      <c r="G16" s="30"/>
      <c r="H16" s="30"/>
      <c r="I16" s="31"/>
    </row>
    <row r="17" spans="2:10" x14ac:dyDescent="0.2">
      <c r="B17" s="16"/>
      <c r="C17" s="16"/>
      <c r="D17" s="16"/>
      <c r="E17" s="16"/>
      <c r="F17" s="16"/>
    </row>
    <row r="18" spans="2:10" x14ac:dyDescent="0.2">
      <c r="B18" s="16"/>
      <c r="C18" s="16"/>
      <c r="D18" s="16"/>
      <c r="E18" s="16"/>
      <c r="F18" s="16"/>
    </row>
    <row r="19" spans="2:10" x14ac:dyDescent="0.2">
      <c r="B19" s="33"/>
      <c r="C19" s="34"/>
      <c r="D19" s="34"/>
      <c r="E19" s="34"/>
      <c r="F19" s="34"/>
      <c r="G19" s="21"/>
      <c r="H19" s="21"/>
      <c r="I19" s="22"/>
    </row>
    <row r="20" spans="2:10" x14ac:dyDescent="0.2">
      <c r="B20" s="35"/>
      <c r="C20" s="205" t="str">
        <f>IF($J$10=TRUE,"Please select the submitted documents below","Selecione abaixo os documentos enviados.")</f>
        <v>Selecione abaixo os documentos enviados.</v>
      </c>
      <c r="D20" s="205"/>
      <c r="E20" s="205"/>
      <c r="F20" s="205"/>
      <c r="G20" s="205"/>
      <c r="H20" s="205"/>
      <c r="I20" s="24"/>
    </row>
    <row r="21" spans="2:10" x14ac:dyDescent="0.2">
      <c r="B21" s="35"/>
      <c r="C21" s="44" t="str">
        <f>IF($J$10=TRUE,"REQUIREMENT","REQUISITO")</f>
        <v>REQUISITO</v>
      </c>
      <c r="D21" s="206" t="str">
        <f>IF($J$10=TRUE,"SENT","ENVIADO")</f>
        <v>ENVIADO</v>
      </c>
      <c r="E21" s="206"/>
      <c r="F21" s="187" t="str">
        <f>IF($J$10=TRUE,"DOCUMENTS","DOCUMENTOS")</f>
        <v>DOCUMENTOS</v>
      </c>
      <c r="G21" s="188"/>
      <c r="H21" s="189"/>
      <c r="I21" s="24"/>
    </row>
    <row r="22" spans="2:10" x14ac:dyDescent="0.2">
      <c r="B22" s="35"/>
      <c r="C22" s="47" t="str">
        <f>IF($J$10=TRUE,"Mandatory","Obrigatório")</f>
        <v>Obrigatório</v>
      </c>
      <c r="D22" s="201"/>
      <c r="E22" s="201"/>
      <c r="F22" s="217" t="str">
        <f>IF($J$10=TRUE,"Licença de operação emitida pelo governo","Alvará da Prefeitura")</f>
        <v>Alvará da Prefeitura</v>
      </c>
      <c r="G22" s="218"/>
      <c r="H22" s="219"/>
      <c r="I22" s="24"/>
    </row>
    <row r="23" spans="2:10" ht="29.25" customHeight="1" x14ac:dyDescent="0.2">
      <c r="B23" s="36"/>
      <c r="C23" s="47" t="str">
        <f>IF($J$10=TRUE,"Mandatory","Obrigatório")</f>
        <v>Obrigatório</v>
      </c>
      <c r="D23" s="201"/>
      <c r="E23" s="201"/>
      <c r="F23" s="217" t="str">
        <f>IF($J$10=TRUE,"License issued by the health agency","Licença da Vigilância Sanitária")</f>
        <v>Licença da Vigilância Sanitária</v>
      </c>
      <c r="G23" s="218"/>
      <c r="H23" s="219"/>
      <c r="I23" s="24"/>
    </row>
    <row r="24" spans="2:10" ht="41.25" customHeight="1" x14ac:dyDescent="0.2">
      <c r="B24" s="37"/>
      <c r="C24" s="47" t="str">
        <f>IF($J$10=TRUE,"Mandatory","Obrigatório")</f>
        <v>Obrigatório</v>
      </c>
      <c r="D24" s="201"/>
      <c r="E24" s="201"/>
      <c r="F24" s="217" t="str">
        <f>IF($J$10=TRUE,"License issued by the environmental agency","Licença de Operação ou Dispensa do órgão ambiental estadual")</f>
        <v>Licença de Operação ou Dispensa do órgão ambiental estadual</v>
      </c>
      <c r="G24" s="218"/>
      <c r="H24" s="219"/>
      <c r="I24" s="38"/>
      <c r="J24" s="32"/>
    </row>
    <row r="25" spans="2:10" ht="27" customHeight="1" x14ac:dyDescent="0.2">
      <c r="B25" s="37"/>
      <c r="C25" s="47" t="str">
        <f>IF($J$10=TRUE,"Mandatory","Obrigatório")</f>
        <v>Obrigatório</v>
      </c>
      <c r="D25" s="201"/>
      <c r="E25" s="201"/>
      <c r="F25" s="217" t="str">
        <f>IF($J$10=TRUE,"Technical Specification Sheet (TS)","Ficha de Especificações Técnicas")</f>
        <v>Ficha de Especificações Técnicas</v>
      </c>
      <c r="G25" s="218"/>
      <c r="H25" s="219"/>
      <c r="I25" s="38"/>
      <c r="J25" s="32"/>
    </row>
    <row r="26" spans="2:10" ht="27" customHeight="1" x14ac:dyDescent="0.2">
      <c r="B26" s="36"/>
      <c r="C26" s="47" t="str">
        <f>IF($J$10=TRUE,"Mandatory","Obrigatório")</f>
        <v>Obrigatório</v>
      </c>
      <c r="D26" s="201"/>
      <c r="E26" s="201"/>
      <c r="F26" s="217" t="str">
        <f>IF($J$10=TRUE,"ICC Technical Specification Acceptance","Aceite da Especificação Técnica ICC")</f>
        <v>Aceite da Especificação Técnica ICC</v>
      </c>
      <c r="G26" s="218"/>
      <c r="H26" s="219"/>
      <c r="I26" s="24"/>
    </row>
    <row r="27" spans="2:10" ht="25.5" customHeight="1" x14ac:dyDescent="0.2">
      <c r="B27" s="37"/>
      <c r="C27" s="46" t="str">
        <f>IF($J$10=TRUE,"Differencial","Diferencial")</f>
        <v>Diferencial</v>
      </c>
      <c r="D27" s="201"/>
      <c r="E27" s="201"/>
      <c r="F27" s="217" t="str">
        <f>IF($J$10=TRUE,"Material Safety Data Sheet (MSDS)","FISPQ")</f>
        <v>FISPQ</v>
      </c>
      <c r="G27" s="218"/>
      <c r="H27" s="219"/>
      <c r="I27" s="38"/>
      <c r="J27" s="32"/>
    </row>
    <row r="28" spans="2:10" ht="45" customHeight="1" x14ac:dyDescent="0.2">
      <c r="B28" s="37"/>
      <c r="C28" s="46" t="str">
        <f>IF($J$10=TRUE,"Differencial","Diferencial")</f>
        <v>Diferencial</v>
      </c>
      <c r="D28" s="201"/>
      <c r="E28" s="201"/>
      <c r="F28" s="217" t="str">
        <f>IF($J$10=TRUE,"Food Safety Certificates (e.g., GMP+FSA, FSSC 22000, FAMI QS, BRC...)","Certificados de Segurança de Alimentos (por exemplo, GMP+FSA, FSSC 22000, FAMI QS, BRC...)")</f>
        <v>Certificados de Segurança de Alimentos (por exemplo, GMP+FSA, FSSC 22000, FAMI QS, BRC...)</v>
      </c>
      <c r="G28" s="218"/>
      <c r="H28" s="219"/>
      <c r="I28" s="38"/>
      <c r="J28" s="32"/>
    </row>
    <row r="29" spans="2:10" x14ac:dyDescent="0.2">
      <c r="B29" s="36"/>
      <c r="I29" s="24"/>
    </row>
    <row r="30" spans="2:10" x14ac:dyDescent="0.2">
      <c r="B30" s="36"/>
      <c r="I30" s="24"/>
    </row>
    <row r="31" spans="2:10" x14ac:dyDescent="0.2">
      <c r="B31" s="39"/>
      <c r="C31" s="30"/>
      <c r="D31" s="30"/>
      <c r="E31" s="30"/>
      <c r="F31" s="30"/>
      <c r="G31" s="30"/>
      <c r="H31" s="30"/>
      <c r="I31" s="31"/>
    </row>
    <row r="33" spans="2:10" x14ac:dyDescent="0.2">
      <c r="G33" s="154"/>
      <c r="H33" s="154"/>
      <c r="I33" s="154"/>
      <c r="J33" s="139"/>
    </row>
    <row r="34" spans="2:10" x14ac:dyDescent="0.2">
      <c r="B34" s="41"/>
      <c r="C34" s="21"/>
      <c r="D34" s="21"/>
      <c r="E34" s="21"/>
      <c r="F34" s="21"/>
      <c r="G34" s="42"/>
      <c r="H34" s="42"/>
      <c r="I34" s="43"/>
      <c r="J34" s="40"/>
    </row>
    <row r="35" spans="2:10" x14ac:dyDescent="0.2">
      <c r="B35" s="36"/>
      <c r="I35" s="24"/>
    </row>
    <row r="36" spans="2:10" x14ac:dyDescent="0.2">
      <c r="B36" s="183" t="str">
        <f>IF($J$10=TRUE,"Read each statement and mark with an X in the column according to the company's service in the item.","Por favor, leia cada enunciado e assinale com um X na coluna correspondente ao atendimento da empresa para o respectivo item.")</f>
        <v>Por favor, leia cada enunciado e assinale com um X na coluna correspondente ao atendimento da empresa para o respectivo item.</v>
      </c>
      <c r="C36" s="184"/>
      <c r="D36" s="184"/>
      <c r="E36" s="184"/>
      <c r="F36" s="184"/>
      <c r="G36" s="184"/>
      <c r="H36" s="184"/>
      <c r="I36" s="185"/>
    </row>
    <row r="37" spans="2:10" ht="15.75" x14ac:dyDescent="0.2">
      <c r="B37" s="167" t="str">
        <f>IF($J$10=TRUE,"QUALITY AND FOOD SAFETY MANAGEMENT SYSTEM","SISTEMA DE GESTÃO DA QUALIDADE E SEGURANÇA DE ALIMENTOS")</f>
        <v>SISTEMA DE GESTÃO DA QUALIDADE E SEGURANÇA DE ALIMENTOS</v>
      </c>
      <c r="C37" s="168"/>
      <c r="D37" s="168"/>
      <c r="E37" s="168"/>
      <c r="F37" s="168"/>
      <c r="G37" s="168"/>
      <c r="H37" s="168"/>
      <c r="I37" s="169"/>
    </row>
    <row r="38" spans="2:10" ht="25.5" customHeight="1" x14ac:dyDescent="0.2">
      <c r="B38" s="170" t="str">
        <f>IF($J$10=TRUE,"Items (Answer the question with an X. If the answer is NA, please justify the answer at the Observation field.","Itens (Selecione a resposta com X) / Se NA, justificar em Observações")</f>
        <v>Itens (Selecione a resposta com X) / Se NA, justificar em Observações</v>
      </c>
      <c r="C38" s="171"/>
      <c r="D38" s="114" t="str">
        <f>IF($J$10=TRUE,"Yes","Sim")</f>
        <v>Sim</v>
      </c>
      <c r="E38" s="114" t="str">
        <f>IF($J$10=TRUE,"No","Não")</f>
        <v>Não</v>
      </c>
      <c r="F38" s="114" t="str">
        <f>IF($J$10=TRUE,"In progress","Em andamento")</f>
        <v>Em andamento</v>
      </c>
      <c r="G38" s="113" t="str">
        <f>IF($J$10=TRUE,"NA (not applicable)","NA")</f>
        <v>NA</v>
      </c>
      <c r="H38" s="172" t="str">
        <f>IF($J$10=TRUE,"Observation","Observações")</f>
        <v>Observações</v>
      </c>
      <c r="I38" s="173"/>
    </row>
    <row r="39" spans="2:10" ht="38.25" x14ac:dyDescent="0.2">
      <c r="B39" s="60">
        <v>1</v>
      </c>
      <c r="C39" s="45" t="str">
        <f>IF($J$10=TRUE,"Does the company establish procedures for preparing, issuing, circulating and controlling documentation?","A empresa estabelece procedimentos para elaboração, emissão, circulação e controle da documentação?")</f>
        <v>A empresa estabelece procedimentos para elaboração, emissão, circulação e controle da documentação?</v>
      </c>
      <c r="D39" s="127"/>
      <c r="E39" s="130"/>
      <c r="F39" s="127"/>
      <c r="G39" s="127"/>
      <c r="H39" s="166"/>
      <c r="I39" s="166"/>
    </row>
    <row r="40" spans="2:10" ht="17.25" customHeight="1" x14ac:dyDescent="0.2">
      <c r="B40" s="60">
        <v>2</v>
      </c>
      <c r="C40" s="45" t="str">
        <f>IF($J$10=TRUE,"Is there a supplier management procedure?","Há procedimento de gestão de fornecedores?")</f>
        <v>Há procedimento de gestão de fornecedores?</v>
      </c>
      <c r="D40" s="127"/>
      <c r="E40" s="130"/>
      <c r="F40" s="127"/>
      <c r="G40" s="127"/>
      <c r="H40" s="166"/>
      <c r="I40" s="166"/>
    </row>
    <row r="41" spans="2:10" ht="38.25" x14ac:dyDescent="0.2">
      <c r="B41" s="60">
        <v>3</v>
      </c>
      <c r="C41" s="45" t="str">
        <f>IF($J$10=TRUE,"Do you have a product traceability and recall program? Are simulations carried out?","Possui programa de rastreabilidade e recolhimento de produtos? São realizado simulados?")</f>
        <v>Possui programa de rastreabilidade e recolhimento de produtos? São realizado simulados?</v>
      </c>
      <c r="D41" s="127"/>
      <c r="E41" s="130"/>
      <c r="F41" s="127"/>
      <c r="G41" s="127"/>
      <c r="H41" s="166"/>
      <c r="I41" s="166"/>
    </row>
    <row r="42" spans="2:10" x14ac:dyDescent="0.2">
      <c r="B42" s="36"/>
      <c r="I42" s="24"/>
    </row>
    <row r="43" spans="2:10" ht="15.75" x14ac:dyDescent="0.2">
      <c r="B43" s="167" t="str">
        <f>IF($J$10=TRUE,"MAINTENANCE AND CALIBRATION","MANUTENÇÃO E CALIBRAÇÃO")</f>
        <v>MANUTENÇÃO E CALIBRAÇÃO</v>
      </c>
      <c r="C43" s="168"/>
      <c r="D43" s="168"/>
      <c r="E43" s="168"/>
      <c r="F43" s="168"/>
      <c r="G43" s="168"/>
      <c r="H43" s="168"/>
      <c r="I43" s="169"/>
    </row>
    <row r="44" spans="2:10" ht="33" customHeight="1" x14ac:dyDescent="0.2">
      <c r="B44" s="170" t="str">
        <f>IF($J$10=TRUE,"Items (Answer the question with an X. If the answer is NA, please justify the answer at the Observation field.","Itens (Selecione a resposta com X) / Se NA, justificar em Observações")</f>
        <v>Itens (Selecione a resposta com X) / Se NA, justificar em Observações</v>
      </c>
      <c r="C44" s="171"/>
      <c r="D44" s="114" t="str">
        <f>IF($J$10=TRUE,"Yes","Sim")</f>
        <v>Sim</v>
      </c>
      <c r="E44" s="114" t="str">
        <f>IF($J$10=TRUE,"No","Não")</f>
        <v>Não</v>
      </c>
      <c r="F44" s="114" t="str">
        <f>IF($J$10=TRUE,"In progress","Em andamento")</f>
        <v>Em andamento</v>
      </c>
      <c r="G44" s="113" t="str">
        <f>IF($J$10=TRUE,"NA (not applicable)","NA")</f>
        <v>NA</v>
      </c>
      <c r="H44" s="172" t="str">
        <f>IF($J$10=TRUE,"Observation","Observações")</f>
        <v>Observações</v>
      </c>
      <c r="I44" s="173"/>
    </row>
    <row r="45" spans="2:10" ht="25.5" x14ac:dyDescent="0.2">
      <c r="B45" s="60">
        <v>4</v>
      </c>
      <c r="C45" s="45" t="str">
        <f>IF($J$10=TRUE,"Is there a documented preventative maintenance program for equipment?","Existe um programa documentado para manutenção preventiva dos equipamentos?")</f>
        <v>Existe um programa documentado para manutenção preventiva dos equipamentos?</v>
      </c>
      <c r="D45" s="127"/>
      <c r="E45" s="130"/>
      <c r="F45" s="127"/>
      <c r="G45" s="127"/>
      <c r="H45" s="166"/>
      <c r="I45" s="166"/>
    </row>
    <row r="46" spans="2:10" ht="25.5" x14ac:dyDescent="0.2">
      <c r="B46" s="60">
        <v>5</v>
      </c>
      <c r="C46" s="45" t="str">
        <f>IF($J$10=TRUE,"Do you perform equipment and instrument calibration?","Realiza calibração de equipamento e instrumentos?")</f>
        <v>Realiza calibração de equipamento e instrumentos?</v>
      </c>
      <c r="D46" s="127"/>
      <c r="E46" s="130"/>
      <c r="F46" s="127"/>
      <c r="G46" s="127"/>
      <c r="H46" s="166"/>
      <c r="I46" s="166"/>
    </row>
    <row r="47" spans="2:10" x14ac:dyDescent="0.2">
      <c r="B47" s="36"/>
      <c r="I47" s="24"/>
    </row>
    <row r="48" spans="2:10" ht="15.75" x14ac:dyDescent="0.2">
      <c r="B48" s="224" t="str">
        <f>IF($J$10=TRUE,"RECEIPT, STORAGE AND DISPATCH OF PRODUCTS","RECEBIMENTO, ARMAZENAMENTO E EXPEDIÇÃO DE PRODUTOS")</f>
        <v>RECEBIMENTO, ARMAZENAMENTO E EXPEDIÇÃO DE PRODUTOS</v>
      </c>
      <c r="C48" s="224"/>
      <c r="D48" s="224"/>
      <c r="E48" s="224"/>
      <c r="F48" s="224"/>
      <c r="G48" s="224"/>
      <c r="H48" s="224"/>
      <c r="I48" s="224"/>
    </row>
    <row r="49" spans="2:9" ht="26.25" customHeight="1" x14ac:dyDescent="0.2">
      <c r="B49" s="170" t="str">
        <f>IF($J$10=TRUE,"Items (Answer the question with an X. If the answer is NA, please justify the answer at the Observation field.","Itens (Selecione a resposta com X) / Se NA, justificar em Observações")</f>
        <v>Itens (Selecione a resposta com X) / Se NA, justificar em Observações</v>
      </c>
      <c r="C49" s="171"/>
      <c r="D49" s="114" t="str">
        <f>IF($J$10=TRUE,"Yes","Sim")</f>
        <v>Sim</v>
      </c>
      <c r="E49" s="114" t="str">
        <f>IF($J$10=TRUE,"No","Não")</f>
        <v>Não</v>
      </c>
      <c r="F49" s="114" t="str">
        <f>IF($J$10=TRUE,"In progress","Em andamento")</f>
        <v>Em andamento</v>
      </c>
      <c r="G49" s="113" t="str">
        <f>IF($J$10=TRUE,"NA (not applicable)","NA")</f>
        <v>NA</v>
      </c>
      <c r="H49" s="172" t="str">
        <f>IF($J$10=TRUE,"Observation","Observações")</f>
        <v>Observações</v>
      </c>
      <c r="I49" s="173"/>
    </row>
    <row r="50" spans="2:9" ht="76.5" x14ac:dyDescent="0.2">
      <c r="B50" s="60">
        <v>6</v>
      </c>
      <c r="C50" s="45" t="str">
        <f>IF($J$10=TRUE,"Are the vehicles that transport products in good hygiene conditions, covered, and free from pests and other contaminants? Are vehicles inspected during receipt and dispatch?","Veiculos que fazem o transporte dos produtos apresentadam boas condições de higiene, são cobertos, ausentes de pragas e outros contaminantes?  Os veículos são inspecionados durante o recebimento e expedição?")</f>
        <v>Veiculos que fazem o transporte dos produtos apresentadam boas condições de higiene, são cobertos, ausentes de pragas e outros contaminantes?  Os veículos são inspecionados durante o recebimento e expedição?</v>
      </c>
      <c r="D50" s="127"/>
      <c r="E50" s="127"/>
      <c r="F50" s="127"/>
      <c r="G50" s="127"/>
      <c r="H50" s="166"/>
      <c r="I50" s="166"/>
    </row>
    <row r="51" spans="2:9" ht="51" x14ac:dyDescent="0.2">
      <c r="B51" s="60">
        <v>7</v>
      </c>
      <c r="C51" s="45" t="str">
        <f>IF($J$10=TRUE,"Are products stored in appropriate conditions, regarding temperature, humidity, absence of sunlight and away from walls?","Produtos estão armazenados em condições adequadas, quanto à temperatura, umidade, ausência de luz solar e distantes das paredes?")</f>
        <v>Produtos estão armazenados em condições adequadas, quanto à temperatura, umidade, ausência de luz solar e distantes das paredes?</v>
      </c>
      <c r="D51" s="127"/>
      <c r="E51" s="127"/>
      <c r="F51" s="127"/>
      <c r="G51" s="127"/>
      <c r="H51" s="166"/>
      <c r="I51" s="166"/>
    </row>
    <row r="52" spans="2:9" x14ac:dyDescent="0.2">
      <c r="B52" s="36"/>
      <c r="I52" s="24"/>
    </row>
    <row r="53" spans="2:9" ht="15.75" x14ac:dyDescent="0.2">
      <c r="B53" s="167" t="str">
        <f>IF($J$10=TRUE,"PRODUCTION PROCESS","PROCESSO DE PRODUÇÃO")</f>
        <v>PROCESSO DE PRODUÇÃO</v>
      </c>
      <c r="C53" s="168"/>
      <c r="D53" s="168"/>
      <c r="E53" s="168"/>
      <c r="F53" s="168"/>
      <c r="G53" s="168"/>
      <c r="H53" s="168"/>
      <c r="I53" s="169"/>
    </row>
    <row r="54" spans="2:9" ht="27.75" customHeight="1" x14ac:dyDescent="0.2">
      <c r="B54" s="170" t="str">
        <f>IF($J$10=TRUE,"Items (Answer the question with an X. If the answer is NA, please justify the answer at the Observation field.","Itens (Selecione a resposta com X) / Se NA, justificar em Observações")</f>
        <v>Itens (Selecione a resposta com X) / Se NA, justificar em Observações</v>
      </c>
      <c r="C54" s="171"/>
      <c r="D54" s="114" t="str">
        <f>IF($J$10=TRUE,"Yes","Sim")</f>
        <v>Sim</v>
      </c>
      <c r="E54" s="114" t="str">
        <f>IF($J$10=TRUE,"No","Não")</f>
        <v>Não</v>
      </c>
      <c r="F54" s="114" t="str">
        <f>IF($J$10=TRUE,"In progress","Em andamento")</f>
        <v>Em andamento</v>
      </c>
      <c r="G54" s="113" t="str">
        <f>IF($J$10=TRUE,"NA (not applicable)","NA")</f>
        <v>NA</v>
      </c>
      <c r="H54" s="172" t="str">
        <f>IF($J$10=TRUE,"Observation","Observações")</f>
        <v>Observações</v>
      </c>
      <c r="I54" s="173"/>
    </row>
    <row r="55" spans="2:9" ht="38.25" x14ac:dyDescent="0.2">
      <c r="B55" s="60">
        <v>8</v>
      </c>
      <c r="C55" s="45" t="str">
        <f>IF($J$10=TRUE,"Are there criteria for each process and product acceptance? Are these parameters controlled and recorded?","Existem critérios para cada processo e aceitação do produto? Estes parametros são controlados e registrados?")</f>
        <v>Existem critérios para cada processo e aceitação do produto? Estes parametros são controlados e registrados?</v>
      </c>
      <c r="D55" s="127"/>
      <c r="E55" s="127"/>
      <c r="F55" s="127"/>
      <c r="G55" s="127"/>
      <c r="H55" s="166"/>
      <c r="I55" s="166"/>
    </row>
    <row r="56" spans="2:9" x14ac:dyDescent="0.2">
      <c r="B56" s="36"/>
      <c r="I56" s="24"/>
    </row>
    <row r="57" spans="2:9" ht="15.75" x14ac:dyDescent="0.2">
      <c r="B57" s="167" t="str">
        <f>IF($J$10=TRUE,"CUSTOMER COMMUNICATION","COMUNICAÇÃO COM O CLIENTE")</f>
        <v>COMUNICAÇÃO COM O CLIENTE</v>
      </c>
      <c r="C57" s="168"/>
      <c r="D57" s="168"/>
      <c r="E57" s="168"/>
      <c r="F57" s="168"/>
      <c r="G57" s="168"/>
      <c r="H57" s="168"/>
      <c r="I57" s="169"/>
    </row>
    <row r="58" spans="2:9" ht="27" customHeight="1" x14ac:dyDescent="0.2">
      <c r="B58" s="170" t="str">
        <f>IF($J$10=TRUE,"Items (Answer the question with an X. If the answer is NA, please justify the answer at the Observation field.","Itens (Selecione a resposta com X) / Se NA, justificar em Observações")</f>
        <v>Itens (Selecione a resposta com X) / Se NA, justificar em Observações</v>
      </c>
      <c r="C58" s="171"/>
      <c r="D58" s="114" t="str">
        <f>IF($J$10=TRUE,"Yes","Sim")</f>
        <v>Sim</v>
      </c>
      <c r="E58" s="114" t="str">
        <f>IF($J$10=TRUE,"No","Não")</f>
        <v>Não</v>
      </c>
      <c r="F58" s="114" t="str">
        <f>IF($J$10=TRUE,"In progress","Em andamento")</f>
        <v>Em andamento</v>
      </c>
      <c r="G58" s="113" t="str">
        <f>IF($J$10=TRUE,"NA (not applicable)","NA")</f>
        <v>NA</v>
      </c>
      <c r="H58" s="172" t="str">
        <f>IF($J$10=TRUE,"Observation","Observações")</f>
        <v>Observações</v>
      </c>
      <c r="I58" s="173"/>
    </row>
    <row r="59" spans="2:9" ht="38.25" x14ac:dyDescent="0.2">
      <c r="B59" s="60">
        <v>9</v>
      </c>
      <c r="C59" s="45" t="str">
        <f>IF($J$10=TRUE,"Does the company ensure that customer requirements for products are being followed? How?","A empresa assegura que os requisitos dos clientes para produtos estão sendo seguidos? Como?")</f>
        <v>A empresa assegura que os requisitos dos clientes para produtos estão sendo seguidos? Como?</v>
      </c>
      <c r="D59" s="127"/>
      <c r="E59" s="127"/>
      <c r="F59" s="127"/>
      <c r="G59" s="127"/>
      <c r="H59" s="166"/>
      <c r="I59" s="166"/>
    </row>
    <row r="60" spans="2:9" ht="25.5" x14ac:dyDescent="0.2">
      <c r="B60" s="60">
        <v>10</v>
      </c>
      <c r="C60" s="45" t="str">
        <f>IF($J$10=TRUE,"Are customers notified when there are changes to relevant information? How?","Quando há mudanças nos pertinentes os clientes são comunicados? Como?")</f>
        <v>Quando há mudanças nos pertinentes os clientes são comunicados? Como?</v>
      </c>
      <c r="D60" s="127"/>
      <c r="E60" s="127"/>
      <c r="F60" s="127"/>
      <c r="G60" s="127"/>
      <c r="H60" s="166"/>
      <c r="I60" s="166"/>
    </row>
    <row r="61" spans="2:9" ht="38.25" x14ac:dyDescent="0.2">
      <c r="B61" s="60">
        <v>11</v>
      </c>
      <c r="C61" s="45" t="str">
        <f>IF($J$10=TRUE,"Is there a customer complaint handling system? Are complaints recorded and handled?","Existe um sistema de tratamento de reclamação de clientes? As reclamações são registradas e tratadas?")</f>
        <v>Existe um sistema de tratamento de reclamação de clientes? As reclamações são registradas e tratadas?</v>
      </c>
      <c r="D61" s="127"/>
      <c r="E61" s="127"/>
      <c r="F61" s="127"/>
      <c r="G61" s="127"/>
      <c r="H61" s="166"/>
      <c r="I61" s="166"/>
    </row>
    <row r="62" spans="2:9" x14ac:dyDescent="0.2">
      <c r="B62" s="36"/>
      <c r="I62" s="24"/>
    </row>
    <row r="63" spans="2:9" ht="15.75" x14ac:dyDescent="0.2">
      <c r="B63" s="167" t="str">
        <f>IF($J$10=TRUE,"PRODUCT","PRODUTO")</f>
        <v>PRODUTO</v>
      </c>
      <c r="C63" s="168"/>
      <c r="D63" s="168"/>
      <c r="E63" s="168"/>
      <c r="F63" s="168"/>
      <c r="G63" s="168"/>
      <c r="H63" s="168"/>
      <c r="I63" s="169"/>
    </row>
    <row r="64" spans="2:9" ht="25.5" customHeight="1" x14ac:dyDescent="0.2">
      <c r="B64" s="170" t="str">
        <f>IF($J$10=TRUE,"Items (Answer the question with an X. If the answer is NA, please justify the answer at the Observation field.","Itens (Selecione a resposta com X) / Se NA, justificar em Observações")</f>
        <v>Itens (Selecione a resposta com X) / Se NA, justificar em Observações</v>
      </c>
      <c r="C64" s="171"/>
      <c r="D64" s="114" t="str">
        <f>IF($J$10=TRUE,"Yes","Sim")</f>
        <v>Sim</v>
      </c>
      <c r="E64" s="114" t="str">
        <f>IF($J$10=TRUE,"No","Não")</f>
        <v>Não</v>
      </c>
      <c r="F64" s="114" t="str">
        <f>IF($J$10=TRUE,"In progress","Em andamento")</f>
        <v>Em andamento</v>
      </c>
      <c r="G64" s="113" t="str">
        <f>IF($J$10=TRUE,"NA (not applicable)","NA")</f>
        <v>NA</v>
      </c>
      <c r="H64" s="172" t="str">
        <f>IF($J$10=TRUE,"Observation","Observações")</f>
        <v>Observações</v>
      </c>
      <c r="I64" s="173"/>
    </row>
    <row r="65" spans="2:11" ht="38.25" x14ac:dyDescent="0.2">
      <c r="B65" s="60">
        <v>12</v>
      </c>
      <c r="C65" s="45" t="str">
        <f>IF($J$10=TRUE,"Does the company manage non-conforming products that have already left the company? How?","A empresa faz a gestão de produtos não conformes que já sairam da empresa? Como?")</f>
        <v>A empresa faz a gestão de produtos não conformes que já sairam da empresa? Como?</v>
      </c>
      <c r="D65" s="127"/>
      <c r="E65" s="127"/>
      <c r="F65" s="127"/>
      <c r="G65" s="127"/>
      <c r="H65" s="166"/>
      <c r="I65" s="166"/>
    </row>
    <row r="66" spans="2:11" ht="25.5" x14ac:dyDescent="0.2">
      <c r="B66" s="60">
        <v>13</v>
      </c>
      <c r="C66" s="45" t="str">
        <f>IF($J$10=TRUE,"Are analyzes and tests carried out on each batch? Which?","São realizados análises e testes de cada lote? Quais?")</f>
        <v>São realizados análises e testes de cada lote? Quais?</v>
      </c>
      <c r="D66" s="127"/>
      <c r="E66" s="127"/>
      <c r="F66" s="127"/>
      <c r="G66" s="127"/>
      <c r="H66" s="166"/>
      <c r="I66" s="166"/>
    </row>
    <row r="67" spans="2:11" ht="25.5" x14ac:dyDescent="0.2">
      <c r="B67" s="60">
        <v>14</v>
      </c>
      <c r="C67" s="45" t="str">
        <f>IF($J$10=TRUE,"Is there a separation in the company for non-conforming products? How is done?","Existe uma separação na empresa para produtos não conformes? Como é feito?")</f>
        <v>Existe uma separação na empresa para produtos não conformes? Como é feito?</v>
      </c>
      <c r="D67" s="127"/>
      <c r="E67" s="127"/>
      <c r="F67" s="127"/>
      <c r="G67" s="127"/>
      <c r="H67" s="166"/>
      <c r="I67" s="166"/>
    </row>
    <row r="68" spans="2:11" x14ac:dyDescent="0.2">
      <c r="B68" s="93"/>
      <c r="C68" s="94"/>
      <c r="D68" s="95"/>
      <c r="E68" s="95"/>
      <c r="F68" s="95"/>
      <c r="G68" s="95"/>
      <c r="H68" s="92"/>
      <c r="I68" s="91"/>
    </row>
    <row r="69" spans="2:11" ht="15.75" x14ac:dyDescent="0.2">
      <c r="B69" s="167" t="str">
        <f>IF($J$10=TRUE,"EMPLOYEES","COLABORADORES")</f>
        <v>COLABORADORES</v>
      </c>
      <c r="C69" s="168"/>
      <c r="D69" s="168"/>
      <c r="E69" s="168"/>
      <c r="F69" s="168"/>
      <c r="G69" s="168"/>
      <c r="H69" s="168"/>
      <c r="I69" s="169"/>
    </row>
    <row r="70" spans="2:11" ht="27" customHeight="1" x14ac:dyDescent="0.2">
      <c r="B70" s="170" t="str">
        <f>IF($J$10=TRUE,"Items (Answer the question with an X. If the answer is NA, please justify the answer at the Observation field.","Itens (Selecione a resposta com X) / Se NA, justificar em Observações")</f>
        <v>Itens (Selecione a resposta com X) / Se NA, justificar em Observações</v>
      </c>
      <c r="C70" s="171"/>
      <c r="D70" s="114" t="str">
        <f>IF($J$10=TRUE,"Yes","Sim")</f>
        <v>Sim</v>
      </c>
      <c r="E70" s="114" t="str">
        <f>IF($J$10=TRUE,"No","Não")</f>
        <v>Não</v>
      </c>
      <c r="F70" s="114" t="str">
        <f>IF($J$10=TRUE,"In progress","Em andamento")</f>
        <v>Em andamento</v>
      </c>
      <c r="G70" s="113" t="str">
        <f>IF($J$10=TRUE,"NA (not applicable)","NA")</f>
        <v>NA</v>
      </c>
      <c r="H70" s="172" t="str">
        <f>IF($J$10=TRUE,"Observation","Observações")</f>
        <v>Observações</v>
      </c>
      <c r="I70" s="173"/>
    </row>
    <row r="71" spans="2:11" ht="25.5" x14ac:dyDescent="0.2">
      <c r="B71" s="60">
        <v>15</v>
      </c>
      <c r="C71" s="45" t="str">
        <f>IF($J$10=TRUE,"Do employees undergo admission and periodic exams?","Os funcionários fazem exames admissionais e periódicos?")</f>
        <v>Os funcionários fazem exames admissionais e periódicos?</v>
      </c>
      <c r="D71" s="127"/>
      <c r="E71" s="127"/>
      <c r="F71" s="127"/>
      <c r="G71" s="127"/>
      <c r="H71" s="166"/>
      <c r="I71" s="166"/>
    </row>
    <row r="72" spans="2:11" ht="25.5" x14ac:dyDescent="0.2">
      <c r="B72" s="60">
        <v>16</v>
      </c>
      <c r="C72" s="45" t="str">
        <f>IF($J$10=TRUE,"Do all employees receive training on their activities?","Todos os funcionários recebem treinamento sobre as suas atividades?")</f>
        <v>Todos os funcionários recebem treinamento sobre as suas atividades?</v>
      </c>
      <c r="D72" s="127"/>
      <c r="E72" s="127"/>
      <c r="F72" s="127"/>
      <c r="G72" s="127"/>
      <c r="H72" s="166"/>
      <c r="I72" s="166"/>
      <c r="K72" s="10"/>
    </row>
    <row r="73" spans="2:11" x14ac:dyDescent="0.2">
      <c r="B73" s="36"/>
      <c r="I73" s="24"/>
    </row>
    <row r="74" spans="2:11" ht="15.75" x14ac:dyDescent="0.2">
      <c r="B74" s="167" t="s">
        <v>19</v>
      </c>
      <c r="C74" s="168"/>
      <c r="D74" s="168"/>
      <c r="E74" s="168"/>
      <c r="F74" s="168"/>
      <c r="G74" s="168"/>
      <c r="H74" s="168"/>
      <c r="I74" s="169"/>
    </row>
    <row r="75" spans="2:11" ht="28.5" customHeight="1" x14ac:dyDescent="0.2">
      <c r="B75" s="170" t="str">
        <f>IF($J$10=TRUE,"Items (Answer the question with an X. If the answer is NA, please justify the answer at the Observation field.","Itens (Selecione a resposta com X) / Se NA, justificar em Observações")</f>
        <v>Itens (Selecione a resposta com X) / Se NA, justificar em Observações</v>
      </c>
      <c r="C75" s="171"/>
      <c r="D75" s="114" t="str">
        <f>IF($J$10=TRUE,"Yes","Sim")</f>
        <v>Sim</v>
      </c>
      <c r="E75" s="114" t="str">
        <f>IF($J$10=TRUE,"No","Não")</f>
        <v>Não</v>
      </c>
      <c r="F75" s="114" t="str">
        <f>IF($J$10=TRUE,"In progress","Em andamento")</f>
        <v>Em andamento</v>
      </c>
      <c r="G75" s="113" t="str">
        <f>IF($J$10=TRUE,"NA (not applicable)","NA")</f>
        <v>NA</v>
      </c>
      <c r="H75" s="172" t="str">
        <f>IF($J$10=TRUE,"Observation","Observações")</f>
        <v>Observações</v>
      </c>
      <c r="I75" s="173"/>
    </row>
    <row r="76" spans="2:11" ht="51" x14ac:dyDescent="0.2">
      <c r="B76" s="60">
        <v>17</v>
      </c>
      <c r="C76" s="45" t="str">
        <f>IF($J$10=TRUE,"Is there an implemented and effective FOOD DEFENSE program? If not, what are the preventative measures against sabotage?","Existe um programa de FOOD DEFENSE  implementado e eficaz? Caso não tenha, quais a medidas preventivas contra sabotagens?")</f>
        <v>Existe um programa de FOOD DEFENSE  implementado e eficaz? Caso não tenha, quais a medidas preventivas contra sabotagens?</v>
      </c>
      <c r="D76" s="127"/>
      <c r="E76" s="130"/>
      <c r="F76" s="127"/>
      <c r="G76" s="127"/>
      <c r="H76" s="166"/>
      <c r="I76" s="166"/>
    </row>
    <row r="78" spans="2:11" ht="28.5" customHeight="1" x14ac:dyDescent="0.2">
      <c r="B78" s="177" t="str">
        <f>IF($J$10=TRUE,"I declare that all information is true and that any changes in the manufacturing process, specification, or any other changes that impact the quality and/or traceability of the product supplied will be duly communicated to ICC Brazil.","Declaro que todas as informações são verídicas e que qualquer alteração no processo de fabricação, especificação, ou quaisquer outras mudanças que impactem na qualidade e/ou rastreabilidade do produto fornecido serão devidamente comunicados a ICC Brazil.")</f>
        <v>Declaro que todas as informações são verídicas e que qualquer alteração no processo de fabricação, especificação, ou quaisquer outras mudanças que impactem na qualidade e/ou rastreabilidade do produto fornecido serão devidamente comunicados a ICC Brazil.</v>
      </c>
      <c r="C78" s="177"/>
      <c r="D78" s="177"/>
      <c r="E78" s="177"/>
      <c r="F78" s="177"/>
      <c r="G78" s="177"/>
      <c r="H78" s="177"/>
      <c r="I78" s="177"/>
    </row>
    <row r="79" spans="2:11" x14ac:dyDescent="0.2">
      <c r="C79" s="48"/>
    </row>
    <row r="80" spans="2:11" x14ac:dyDescent="0.2">
      <c r="C80" s="65" t="str">
        <f>IF($J$10=TRUE,"Responsible for completing:","Responsável pelo preenchimento:")</f>
        <v>Responsável pelo preenchimento:</v>
      </c>
      <c r="D80" s="166"/>
      <c r="E80" s="166"/>
      <c r="F80" s="166"/>
      <c r="G80" s="166"/>
      <c r="H80" s="166"/>
    </row>
    <row r="81" spans="3:8" x14ac:dyDescent="0.2">
      <c r="C81" s="65" t="str">
        <f>IF($J$10=TRUE,"Job Title:","Cargo:")</f>
        <v>Cargo:</v>
      </c>
      <c r="D81" s="166"/>
      <c r="E81" s="166"/>
      <c r="F81" s="166"/>
      <c r="G81" s="166"/>
      <c r="H81" s="166"/>
    </row>
    <row r="82" spans="3:8" x14ac:dyDescent="0.2">
      <c r="C82" s="65" t="str">
        <f>IF($J$10=TRUE,"Date:","Data:")</f>
        <v>Data:</v>
      </c>
      <c r="D82" s="166"/>
      <c r="E82" s="166"/>
      <c r="F82" s="166"/>
      <c r="G82" s="166"/>
      <c r="H82" s="166"/>
    </row>
    <row r="83" spans="3:8" x14ac:dyDescent="0.2">
      <c r="C83" s="48"/>
    </row>
    <row r="84" spans="3:8" x14ac:dyDescent="0.2">
      <c r="C84" s="48"/>
    </row>
    <row r="85" spans="3:8" x14ac:dyDescent="0.2">
      <c r="C85" s="48"/>
    </row>
    <row r="86" spans="3:8" x14ac:dyDescent="0.2">
      <c r="C86" s="181"/>
      <c r="D86" s="181"/>
      <c r="E86" s="181"/>
      <c r="F86" s="181"/>
      <c r="G86" s="181"/>
      <c r="H86" s="181"/>
    </row>
    <row r="87" spans="3:8" x14ac:dyDescent="0.2">
      <c r="C87" s="175" t="str">
        <f>IF($J$10=TRUE,"Signature","Assinatura")</f>
        <v>Assinatura</v>
      </c>
      <c r="D87" s="176"/>
      <c r="E87" s="176"/>
      <c r="F87" s="176"/>
      <c r="G87" s="176"/>
      <c r="H87" s="176"/>
    </row>
  </sheetData>
  <sheetProtection algorithmName="SHA-512" hashValue="ykxUD/4mK++68rLYKKYdCg1T3WtQRXlvNr31HS4WCjSvplkSxKQraHnCZab2f+fHW3dyHF6mIXosLrW8NjsO6g==" saltValue="APJvExtDmnKHYGjWpUs+/Q==" spinCount="100000" sheet="1"/>
  <mergeCells count="80">
    <mergeCell ref="F24:H24"/>
    <mergeCell ref="J1:J2"/>
    <mergeCell ref="J3:J4"/>
    <mergeCell ref="H39:I39"/>
    <mergeCell ref="B15:C15"/>
    <mergeCell ref="D21:E21"/>
    <mergeCell ref="D22:E22"/>
    <mergeCell ref="D23:E23"/>
    <mergeCell ref="B5:H5"/>
    <mergeCell ref="E6:F6"/>
    <mergeCell ref="G33:J33"/>
    <mergeCell ref="B36:I36"/>
    <mergeCell ref="D27:E27"/>
    <mergeCell ref="D28:E28"/>
    <mergeCell ref="C20:H20"/>
    <mergeCell ref="F25:H25"/>
    <mergeCell ref="F21:H21"/>
    <mergeCell ref="H45:I45"/>
    <mergeCell ref="B53:I53"/>
    <mergeCell ref="D24:E24"/>
    <mergeCell ref="D25:E25"/>
    <mergeCell ref="D26:E26"/>
    <mergeCell ref="B49:C49"/>
    <mergeCell ref="B37:I37"/>
    <mergeCell ref="H46:I46"/>
    <mergeCell ref="F22:H22"/>
    <mergeCell ref="F26:H26"/>
    <mergeCell ref="F27:H27"/>
    <mergeCell ref="F28:H28"/>
    <mergeCell ref="H49:I49"/>
    <mergeCell ref="B43:I43"/>
    <mergeCell ref="F23:H23"/>
    <mergeCell ref="C87:H87"/>
    <mergeCell ref="H38:I38"/>
    <mergeCell ref="B69:I69"/>
    <mergeCell ref="H66:I66"/>
    <mergeCell ref="H70:I70"/>
    <mergeCell ref="B44:C44"/>
    <mergeCell ref="H41:I41"/>
    <mergeCell ref="H44:I44"/>
    <mergeCell ref="B38:C38"/>
    <mergeCell ref="H55:I55"/>
    <mergeCell ref="H40:I40"/>
    <mergeCell ref="B48:I48"/>
    <mergeCell ref="H50:I50"/>
    <mergeCell ref="H76:I76"/>
    <mergeCell ref="B63:I63"/>
    <mergeCell ref="B78:I78"/>
    <mergeCell ref="C1:I4"/>
    <mergeCell ref="C12:H12"/>
    <mergeCell ref="D14:H14"/>
    <mergeCell ref="D15:H15"/>
    <mergeCell ref="C10:H10"/>
    <mergeCell ref="C11:H11"/>
    <mergeCell ref="C13:H13"/>
    <mergeCell ref="B14:C14"/>
    <mergeCell ref="A1:B4"/>
    <mergeCell ref="B54:C54"/>
    <mergeCell ref="H51:I51"/>
    <mergeCell ref="H54:I54"/>
    <mergeCell ref="B64:C64"/>
    <mergeCell ref="H64:I64"/>
    <mergeCell ref="H60:I60"/>
    <mergeCell ref="B57:I57"/>
    <mergeCell ref="H61:I61"/>
    <mergeCell ref="H72:I72"/>
    <mergeCell ref="B74:I74"/>
    <mergeCell ref="H67:I67"/>
    <mergeCell ref="C86:H86"/>
    <mergeCell ref="H58:I58"/>
    <mergeCell ref="H59:I59"/>
    <mergeCell ref="B70:C70"/>
    <mergeCell ref="H65:I65"/>
    <mergeCell ref="H71:I71"/>
    <mergeCell ref="D82:H82"/>
    <mergeCell ref="D81:H81"/>
    <mergeCell ref="B75:C75"/>
    <mergeCell ref="H75:I75"/>
    <mergeCell ref="D80:H80"/>
    <mergeCell ref="B58:C58"/>
  </mergeCells>
  <dataValidations count="1">
    <dataValidation type="list" allowBlank="1" showInputMessage="1" showErrorMessage="1" sqref="D22:E28">
      <formula1>"SIM/YES,NÃO/NO"</formula1>
    </dataValidation>
  </dataValidations>
  <pageMargins left="0.511811024" right="0.511811024" top="0.78740157499999996" bottom="0.78740157499999996" header="0.31496062000000002" footer="0.31496062000000002"/>
  <pageSetup paperSize="9" orientation="portrait" horizontalDpi="0"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36397" r:id="rId4" name="Check Box 1581">
              <controlPr locked="0" defaultSize="0" autoFill="0" autoLine="0" autoPict="0">
                <anchor moveWithCells="1">
                  <from>
                    <xdr:col>3</xdr:col>
                    <xdr:colOff>171450</xdr:colOff>
                    <xdr:row>4</xdr:row>
                    <xdr:rowOff>371475</xdr:rowOff>
                  </from>
                  <to>
                    <xdr:col>5</xdr:col>
                    <xdr:colOff>361950</xdr:colOff>
                    <xdr:row>6</xdr:row>
                    <xdr:rowOff>114300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8"/>
  <dimension ref="A1:K83"/>
  <sheetViews>
    <sheetView showGridLines="0" workbookViewId="0">
      <selection activeCell="J5" sqref="J5"/>
    </sheetView>
  </sheetViews>
  <sheetFormatPr defaultColWidth="0" defaultRowHeight="12.75" x14ac:dyDescent="0.2"/>
  <cols>
    <col min="1" max="1" width="4.5703125" customWidth="1"/>
    <col min="2" max="2" width="18.7109375" customWidth="1"/>
    <col min="3" max="3" width="33.85546875" customWidth="1"/>
    <col min="4" max="5" width="7.7109375" customWidth="1"/>
    <col min="6" max="6" width="20.7109375" customWidth="1"/>
    <col min="7" max="7" width="7.7109375" customWidth="1"/>
    <col min="8" max="8" width="20.7109375" customWidth="1"/>
    <col min="9" max="9" width="18.7109375" customWidth="1"/>
    <col min="10" max="10" width="16" customWidth="1"/>
    <col min="11" max="11" width="26.85546875" hidden="1" customWidth="1"/>
  </cols>
  <sheetData>
    <row r="1" spans="1:10" ht="12.75" customHeight="1" x14ac:dyDescent="0.2">
      <c r="A1" s="195"/>
      <c r="B1" s="196"/>
      <c r="C1" s="193" t="s">
        <v>46</v>
      </c>
      <c r="D1" s="159"/>
      <c r="E1" s="159"/>
      <c r="F1" s="159"/>
      <c r="G1" s="159"/>
      <c r="H1" s="159"/>
      <c r="I1" s="159"/>
      <c r="J1" s="147" t="s">
        <v>42</v>
      </c>
    </row>
    <row r="2" spans="1:10" ht="12.75" customHeight="1" x14ac:dyDescent="0.2">
      <c r="A2" s="197"/>
      <c r="B2" s="198"/>
      <c r="C2" s="193"/>
      <c r="D2" s="159"/>
      <c r="E2" s="159"/>
      <c r="F2" s="159"/>
      <c r="G2" s="159"/>
      <c r="H2" s="159"/>
      <c r="I2" s="159"/>
      <c r="J2" s="148"/>
    </row>
    <row r="3" spans="1:10" ht="12.75" customHeight="1" x14ac:dyDescent="0.2">
      <c r="A3" s="197"/>
      <c r="B3" s="198"/>
      <c r="C3" s="193"/>
      <c r="D3" s="159"/>
      <c r="E3" s="159"/>
      <c r="F3" s="159"/>
      <c r="G3" s="159"/>
      <c r="H3" s="159"/>
      <c r="I3" s="159"/>
      <c r="J3" s="148" t="s">
        <v>80</v>
      </c>
    </row>
    <row r="4" spans="1:10" ht="13.5" customHeight="1" thickBot="1" x14ac:dyDescent="0.25">
      <c r="A4" s="199"/>
      <c r="B4" s="200"/>
      <c r="C4" s="194"/>
      <c r="D4" s="161"/>
      <c r="E4" s="161"/>
      <c r="F4" s="161"/>
      <c r="G4" s="161"/>
      <c r="H4" s="161"/>
      <c r="I4" s="161"/>
      <c r="J4" s="149"/>
    </row>
    <row r="5" spans="1:10" ht="25.5" customHeight="1" x14ac:dyDescent="0.2">
      <c r="B5" s="203" t="s">
        <v>43</v>
      </c>
      <c r="C5" s="203"/>
      <c r="D5" s="203"/>
      <c r="E5" s="203"/>
      <c r="F5" s="203"/>
      <c r="G5" s="203"/>
      <c r="H5" s="203"/>
    </row>
    <row r="6" spans="1:10" x14ac:dyDescent="0.2">
      <c r="B6" s="10"/>
      <c r="C6" s="111"/>
      <c r="D6" s="10"/>
      <c r="E6" s="214"/>
      <c r="F6" s="214"/>
    </row>
    <row r="7" spans="1:10" x14ac:dyDescent="0.2">
      <c r="B7" s="10"/>
      <c r="C7" s="10"/>
      <c r="D7" s="10"/>
      <c r="E7" s="10"/>
      <c r="F7" s="10"/>
      <c r="G7" s="10"/>
      <c r="H7" s="10"/>
    </row>
    <row r="8" spans="1:10" ht="11.25" customHeight="1" x14ac:dyDescent="0.2">
      <c r="B8" s="19"/>
      <c r="C8" s="20"/>
      <c r="D8" s="20"/>
      <c r="E8" s="20"/>
      <c r="F8" s="20"/>
      <c r="G8" s="20"/>
      <c r="H8" s="20"/>
      <c r="I8" s="22"/>
    </row>
    <row r="9" spans="1:10" x14ac:dyDescent="0.2">
      <c r="B9" s="23"/>
      <c r="C9" s="10"/>
      <c r="D9" s="10"/>
      <c r="E9" s="10"/>
      <c r="F9" s="10"/>
      <c r="G9" s="10"/>
      <c r="H9" s="10"/>
      <c r="I9" s="24"/>
    </row>
    <row r="10" spans="1:10" ht="18" customHeight="1" x14ac:dyDescent="0.25">
      <c r="B10" s="25" t="str">
        <f>IF($J$10=TRUE,"Corporate Name:","Razão Social:")</f>
        <v>Razão Social:</v>
      </c>
      <c r="C10" s="204"/>
      <c r="D10" s="204"/>
      <c r="E10" s="204"/>
      <c r="F10" s="204"/>
      <c r="G10" s="204"/>
      <c r="H10" s="204"/>
      <c r="I10" s="57"/>
      <c r="J10" s="128" t="b">
        <v>0</v>
      </c>
    </row>
    <row r="11" spans="1:10" ht="18" customHeight="1" x14ac:dyDescent="0.25">
      <c r="B11" s="25" t="str">
        <f>IF($J$10=TRUE,"Fantasy Name:","Nome Fantasia:")</f>
        <v>Nome Fantasia:</v>
      </c>
      <c r="C11" s="204"/>
      <c r="D11" s="204"/>
      <c r="E11" s="204"/>
      <c r="F11" s="204"/>
      <c r="G11" s="204"/>
      <c r="H11" s="204"/>
      <c r="I11" s="57"/>
    </row>
    <row r="12" spans="1:10" ht="18" customHeight="1" x14ac:dyDescent="0.25">
      <c r="B12" s="25" t="str">
        <f>IF($J$10=TRUE,"TIN:","CNPJ:")</f>
        <v>CNPJ:</v>
      </c>
      <c r="C12" s="204"/>
      <c r="D12" s="204"/>
      <c r="E12" s="204"/>
      <c r="F12" s="204"/>
      <c r="G12" s="204"/>
      <c r="H12" s="204"/>
      <c r="I12" s="57"/>
    </row>
    <row r="13" spans="1:10" ht="18" customHeight="1" x14ac:dyDescent="0.25">
      <c r="B13" s="25" t="str">
        <f>IF($J$10=TRUE,"Adress:","Endereço:")</f>
        <v>Endereço:</v>
      </c>
      <c r="C13" s="215"/>
      <c r="D13" s="215"/>
      <c r="E13" s="215"/>
      <c r="F13" s="215"/>
      <c r="G13" s="215"/>
      <c r="H13" s="215"/>
      <c r="I13" s="57"/>
    </row>
    <row r="14" spans="1:10" ht="18" customHeight="1" x14ac:dyDescent="0.2">
      <c r="B14" s="164" t="str">
        <f>IF($J$10=TRUE,"Product supplied to ICC Brazil:","Produto (s) fornecido (s) para a ICC:")</f>
        <v>Produto (s) fornecido (s) para a ICC:</v>
      </c>
      <c r="C14" s="165"/>
      <c r="D14" s="174"/>
      <c r="E14" s="174"/>
      <c r="F14" s="174"/>
      <c r="G14" s="174"/>
      <c r="H14" s="174"/>
      <c r="I14" s="59"/>
    </row>
    <row r="15" spans="1:10" ht="18" customHeight="1" x14ac:dyDescent="0.2">
      <c r="B15" s="164" t="str">
        <f>IF($J$10=TRUE,"CEO:","Responsável Técnico:")</f>
        <v>Responsável Técnico:</v>
      </c>
      <c r="C15" s="165"/>
      <c r="D15" s="174"/>
      <c r="E15" s="174"/>
      <c r="F15" s="174"/>
      <c r="G15" s="174"/>
      <c r="H15" s="174"/>
      <c r="I15" s="59"/>
    </row>
    <row r="16" spans="1:10" x14ac:dyDescent="0.2">
      <c r="B16" s="28"/>
      <c r="C16" s="29"/>
      <c r="D16" s="29"/>
      <c r="E16" s="29"/>
      <c r="F16" s="29"/>
      <c r="G16" s="29"/>
      <c r="H16" s="29"/>
      <c r="I16" s="31"/>
    </row>
    <row r="17" spans="2:10" x14ac:dyDescent="0.2">
      <c r="B17" s="16"/>
      <c r="C17" s="16"/>
      <c r="D17" s="16"/>
      <c r="E17" s="16"/>
      <c r="F17" s="16"/>
      <c r="G17" s="16"/>
      <c r="H17" s="16"/>
    </row>
    <row r="18" spans="2:10" x14ac:dyDescent="0.2">
      <c r="B18" s="16"/>
      <c r="C18" s="16"/>
      <c r="D18" s="16"/>
      <c r="E18" s="16"/>
      <c r="F18" s="16"/>
      <c r="G18" s="16"/>
      <c r="H18" s="16"/>
    </row>
    <row r="19" spans="2:10" x14ac:dyDescent="0.2">
      <c r="B19" s="33"/>
      <c r="C19" s="34"/>
      <c r="D19" s="34"/>
      <c r="E19" s="34"/>
      <c r="F19" s="34"/>
      <c r="G19" s="34"/>
      <c r="H19" s="34"/>
      <c r="I19" s="22"/>
    </row>
    <row r="20" spans="2:10" x14ac:dyDescent="0.2">
      <c r="B20" s="35"/>
      <c r="C20" s="205" t="str">
        <f>IF($J$10=TRUE,"Please select the submitted documents below","Selecione abaixo os documentos enviados.")</f>
        <v>Selecione abaixo os documentos enviados.</v>
      </c>
      <c r="D20" s="205"/>
      <c r="E20" s="205"/>
      <c r="F20" s="205"/>
      <c r="G20" s="205"/>
      <c r="H20" s="205"/>
      <c r="I20" s="24"/>
    </row>
    <row r="21" spans="2:10" x14ac:dyDescent="0.2">
      <c r="B21" s="35"/>
      <c r="C21" s="44" t="str">
        <f>IF($J$10=TRUE,"REQUIREMENT","REQUISITO")</f>
        <v>REQUISITO</v>
      </c>
      <c r="D21" s="206" t="str">
        <f>IF($J$10=TRUE,"SENT","ENVIADO")</f>
        <v>ENVIADO</v>
      </c>
      <c r="E21" s="206"/>
      <c r="F21" s="187" t="str">
        <f>IF($J$10=TRUE,"DOCUMENTS","DOCUMENTOS")</f>
        <v>DOCUMENTOS</v>
      </c>
      <c r="G21" s="188"/>
      <c r="H21" s="189"/>
      <c r="I21" s="24"/>
    </row>
    <row r="22" spans="2:10" x14ac:dyDescent="0.2">
      <c r="B22" s="35"/>
      <c r="C22" s="47" t="str">
        <f t="shared" ref="C22:C28" si="0">IF($J$10=TRUE,"Mandatory","Obrigatório")</f>
        <v>Obrigatório</v>
      </c>
      <c r="D22" s="201"/>
      <c r="E22" s="201"/>
      <c r="F22" s="221" t="str">
        <f>IF($J$10=TRUE,"Licença de operação emitida pelo governo","Alvará da Prefeitura")</f>
        <v>Alvará da Prefeitura</v>
      </c>
      <c r="G22" s="222"/>
      <c r="H22" s="223"/>
      <c r="I22" s="24"/>
    </row>
    <row r="23" spans="2:10" x14ac:dyDescent="0.2">
      <c r="B23" s="36"/>
      <c r="C23" s="47" t="str">
        <f t="shared" si="0"/>
        <v>Obrigatório</v>
      </c>
      <c r="D23" s="201"/>
      <c r="E23" s="201"/>
      <c r="F23" s="217" t="str">
        <f>IF($J$10=TRUE,"License issued by the health agency","Licença da Vigilância Sanitária")</f>
        <v>Licença da Vigilância Sanitária</v>
      </c>
      <c r="G23" s="218"/>
      <c r="H23" s="219"/>
      <c r="I23" s="24"/>
    </row>
    <row r="24" spans="2:10" ht="12.75" customHeight="1" x14ac:dyDescent="0.2">
      <c r="B24" s="37"/>
      <c r="C24" s="47" t="str">
        <f t="shared" si="0"/>
        <v>Obrigatório</v>
      </c>
      <c r="D24" s="201"/>
      <c r="E24" s="201"/>
      <c r="F24" s="217" t="str">
        <f>IF($J$10=TRUE,"License issued by the environmental agency","Licença de Operação ou Dispensa do órgão ambiental estadual")</f>
        <v>Licença de Operação ou Dispensa do órgão ambiental estadual</v>
      </c>
      <c r="G24" s="218"/>
      <c r="H24" s="219"/>
      <c r="I24" s="38"/>
      <c r="J24" s="32"/>
    </row>
    <row r="25" spans="2:10" ht="12.75" customHeight="1" x14ac:dyDescent="0.2">
      <c r="B25" s="37"/>
      <c r="C25" s="47" t="str">
        <f t="shared" si="0"/>
        <v>Obrigatório</v>
      </c>
      <c r="D25" s="201"/>
      <c r="E25" s="201"/>
      <c r="F25" s="217" t="str">
        <f>IF($J$10=TRUE,"Product registration with the Responsible Organ of the country of origin","Registro do produto junto ao órgão responsável")</f>
        <v>Registro do produto junto ao órgão responsável</v>
      </c>
      <c r="G25" s="218"/>
      <c r="H25" s="219"/>
      <c r="I25" s="38"/>
      <c r="J25" s="32"/>
    </row>
    <row r="26" spans="2:10" ht="12.75" customHeight="1" x14ac:dyDescent="0.2">
      <c r="B26" s="36"/>
      <c r="C26" s="47" t="str">
        <f t="shared" si="0"/>
        <v>Obrigatório</v>
      </c>
      <c r="D26" s="201"/>
      <c r="E26" s="201"/>
      <c r="F26" s="217" t="str">
        <f>IF($J$10=TRUE,"Technical Specification Sheet (TS)","Ficha de Especificações Técnicas")</f>
        <v>Ficha de Especificações Técnicas</v>
      </c>
      <c r="G26" s="218"/>
      <c r="H26" s="219"/>
      <c r="I26" s="24"/>
    </row>
    <row r="27" spans="2:10" x14ac:dyDescent="0.2">
      <c r="B27" s="37"/>
      <c r="C27" s="47" t="str">
        <f t="shared" si="0"/>
        <v>Obrigatório</v>
      </c>
      <c r="D27" s="201"/>
      <c r="E27" s="201"/>
      <c r="F27" s="217" t="str">
        <f>IF($J$10=TRUE,"Material Safety Data Sheet (MSDS)","FISPQ")</f>
        <v>FISPQ</v>
      </c>
      <c r="G27" s="218"/>
      <c r="H27" s="219"/>
      <c r="I27" s="38"/>
      <c r="J27" s="32"/>
    </row>
    <row r="28" spans="2:10" ht="27" customHeight="1" x14ac:dyDescent="0.2">
      <c r="B28" s="37"/>
      <c r="C28" s="47" t="str">
        <f t="shared" si="0"/>
        <v>Obrigatório</v>
      </c>
      <c r="D28" s="201"/>
      <c r="E28" s="201"/>
      <c r="F28" s="217" t="str">
        <f>IF($J$10=TRUE,"Desirable Antimicrobial efficacy assessment report, when necessary","Desejável Laudo / Relatório de avaliação da eficácia antimicrobiana, quando necessário")</f>
        <v>Desejável Laudo / Relatório de avaliação da eficácia antimicrobiana, quando necessário</v>
      </c>
      <c r="G28" s="218"/>
      <c r="H28" s="219"/>
      <c r="I28" s="38"/>
      <c r="J28" s="32"/>
    </row>
    <row r="29" spans="2:10" ht="24.75" customHeight="1" x14ac:dyDescent="0.2">
      <c r="B29" s="37"/>
      <c r="C29" s="46" t="str">
        <f>IF($J$10=TRUE,"Differencial","Diferencial")</f>
        <v>Diferencial</v>
      </c>
      <c r="D29" s="201"/>
      <c r="E29" s="201"/>
      <c r="F29" s="217" t="str">
        <f>IF($J$10=TRUE,"Certificate or Declaration of Waste Movement","Certificado de Movimentação de resíduo de interesse ambiental (CADRI)")</f>
        <v>Certificado de Movimentação de resíduo de interesse ambiental (CADRI)</v>
      </c>
      <c r="G29" s="218"/>
      <c r="H29" s="219"/>
      <c r="I29" s="38"/>
      <c r="J29" s="32"/>
    </row>
    <row r="30" spans="2:10" ht="24" customHeight="1" x14ac:dyDescent="0.2">
      <c r="B30" s="36"/>
      <c r="C30" s="46" t="str">
        <f>IF($J$10=TRUE,"Differencial","Diferencial")</f>
        <v>Diferencial</v>
      </c>
      <c r="D30" s="201"/>
      <c r="E30" s="201"/>
      <c r="F30" s="217" t="str">
        <f>IF($J$10=TRUE,"Food Safety Certificates (e.g., GMP+FSA, FSSC 22000, FAMI QS, BRC...)","Certificados de Segurança de Alimentos (por exemplo, GMP+FSA, FSSC 22000, FAMI QS, BRC...)")</f>
        <v>Certificados de Segurança de Alimentos (por exemplo, GMP+FSA, FSSC 22000, FAMI QS, BRC...)</v>
      </c>
      <c r="G30" s="218"/>
      <c r="H30" s="219"/>
      <c r="I30" s="24"/>
    </row>
    <row r="31" spans="2:10" x14ac:dyDescent="0.2">
      <c r="B31" s="36"/>
      <c r="I31" s="24"/>
    </row>
    <row r="32" spans="2:10" x14ac:dyDescent="0.2">
      <c r="B32" s="39"/>
      <c r="C32" s="30"/>
      <c r="D32" s="30"/>
      <c r="E32" s="30"/>
      <c r="F32" s="30"/>
      <c r="G32" s="30"/>
      <c r="H32" s="30"/>
      <c r="I32" s="31"/>
    </row>
    <row r="34" spans="2:10" x14ac:dyDescent="0.2">
      <c r="I34" s="154"/>
      <c r="J34" s="139"/>
    </row>
    <row r="35" spans="2:10" x14ac:dyDescent="0.2">
      <c r="B35" s="41"/>
      <c r="C35" s="21"/>
      <c r="D35" s="21"/>
      <c r="E35" s="21"/>
      <c r="F35" s="21"/>
      <c r="G35" s="21"/>
      <c r="H35" s="21"/>
      <c r="I35" s="43"/>
      <c r="J35" s="40"/>
    </row>
    <row r="36" spans="2:10" x14ac:dyDescent="0.2">
      <c r="B36" s="36"/>
      <c r="I36" s="24"/>
    </row>
    <row r="37" spans="2:10" x14ac:dyDescent="0.2">
      <c r="B37" s="183" t="str">
        <f>IF($J$10=TRUE,"Read each statement and mark with an X in the column according to the company's service in the item.","Por favor, leia cada enunciado e assinale com um X na coluna correspondente ao atendimento da empresa para o respectivo item.")</f>
        <v>Por favor, leia cada enunciado e assinale com um X na coluna correspondente ao atendimento da empresa para o respectivo item.</v>
      </c>
      <c r="C37" s="184"/>
      <c r="D37" s="184"/>
      <c r="E37" s="184"/>
      <c r="F37" s="184"/>
      <c r="G37" s="184"/>
      <c r="H37" s="184"/>
      <c r="I37" s="185"/>
    </row>
    <row r="38" spans="2:10" ht="15.75" x14ac:dyDescent="0.2">
      <c r="B38" s="167" t="str">
        <f>IF($J$10=TRUE,"GENERAL ITEMS","ITENS GERAIS")</f>
        <v>ITENS GERAIS</v>
      </c>
      <c r="C38" s="168"/>
      <c r="D38" s="168"/>
      <c r="E38" s="168"/>
      <c r="F38" s="168"/>
      <c r="G38" s="168"/>
      <c r="H38" s="168"/>
      <c r="I38" s="169"/>
    </row>
    <row r="39" spans="2:10" ht="25.5" customHeight="1" x14ac:dyDescent="0.2">
      <c r="B39" s="170" t="str">
        <f>IF($J$10=TRUE,"Items (Answer the question with an X. If the answer is NA, please justify the answer at the Observation field.","Itens (Selecione a resposta com X) / Se NA, justificar em Observações")</f>
        <v>Itens (Selecione a resposta com X) / Se NA, justificar em Observações</v>
      </c>
      <c r="C39" s="171"/>
      <c r="D39" s="114" t="str">
        <f>IF($J$10=TRUE,"Yes","Sim")</f>
        <v>Sim</v>
      </c>
      <c r="E39" s="114" t="str">
        <f>IF($J$10=TRUE,"No","Não")</f>
        <v>Não</v>
      </c>
      <c r="F39" s="114" t="str">
        <f>IF($J$10=TRUE,"In progress","Em andamento")</f>
        <v>Em andamento</v>
      </c>
      <c r="G39" s="113" t="str">
        <f>IF($J$10=TRUE,"NA (not applicable)","NA")</f>
        <v>NA</v>
      </c>
      <c r="H39" s="172" t="str">
        <f>IF($J$10=TRUE,"Observation","Observações")</f>
        <v>Observações</v>
      </c>
      <c r="I39" s="173"/>
    </row>
    <row r="40" spans="2:10" ht="63.75" x14ac:dyDescent="0.2">
      <c r="B40" s="60">
        <v>1</v>
      </c>
      <c r="C40" s="99" t="str">
        <f>IF($J$10=TRUE,"Does the company follow current legislation regarding its products and/or services offered? Describe the number and date of the legislation","A empresa segue as legislações vigentes aos seus produtos e/ou serviços oferecidos? Descreva o n° e data da legislação/ portaria/RDC vigente para o seu estabelecimento")</f>
        <v>A empresa segue as legislações vigentes aos seus produtos e/ou serviços oferecidos? Descreva o n° e data da legislação/ portaria/RDC vigente para o seu estabelecimento</v>
      </c>
      <c r="D40" s="129"/>
      <c r="E40" s="129"/>
      <c r="F40" s="129"/>
      <c r="G40" s="129"/>
      <c r="H40" s="166"/>
      <c r="I40" s="166"/>
    </row>
    <row r="41" spans="2:10" ht="38.25" x14ac:dyDescent="0.2">
      <c r="B41" s="60">
        <f t="shared" ref="B41:B46" si="1">B40+1</f>
        <v>2</v>
      </c>
      <c r="C41" s="100" t="str">
        <f>IF($J$10=TRUE,"Are non-conforming products identified, separated and discarded?","Produtos não-conformes são identificados, separados e descartados?")</f>
        <v>Produtos não-conformes são identificados, separados e descartados?</v>
      </c>
      <c r="D41" s="129"/>
      <c r="E41" s="129"/>
      <c r="F41" s="129"/>
      <c r="G41" s="129"/>
      <c r="H41" s="166"/>
      <c r="I41" s="166"/>
    </row>
    <row r="42" spans="2:10" ht="38.25" x14ac:dyDescent="0.2">
      <c r="B42" s="60">
        <f t="shared" si="1"/>
        <v>3</v>
      </c>
      <c r="C42" s="100" t="str">
        <f>IF($J$10=TRUE," Water supply network connected to the public system or a system with certified potability?","Rede de abastecimento de água ligada à rede pública ou sistema com potabilidade atestada?")</f>
        <v>Rede de abastecimento de água ligada à rede pública ou sistema com potabilidade atestada?</v>
      </c>
      <c r="D42" s="129"/>
      <c r="E42" s="129"/>
      <c r="F42" s="129"/>
      <c r="G42" s="129"/>
      <c r="H42" s="166"/>
      <c r="I42" s="166"/>
    </row>
    <row r="43" spans="2:10" ht="63.75" x14ac:dyDescent="0.2">
      <c r="B43" s="60">
        <f t="shared" si="1"/>
        <v>4</v>
      </c>
      <c r="C43" s="99" t="str">
        <f>IF($J$10=TRUE,"Operational procedures and controls described and implemented.
Comment on the supplier's process/activity flow/controls.","Procedimentos e controles operacionais descritos e implementados.
Comente sobre o processo/ fluxo de atividade/ controles do fornecedor.")</f>
        <v>Procedimentos e controles operacionais descritos e implementados.
Comente sobre o processo/ fluxo de atividade/ controles do fornecedor.</v>
      </c>
      <c r="D43" s="129"/>
      <c r="E43" s="129"/>
      <c r="F43" s="129"/>
      <c r="G43" s="129"/>
      <c r="H43" s="166"/>
      <c r="I43" s="166"/>
    </row>
    <row r="44" spans="2:10" ht="76.5" x14ac:dyDescent="0.2">
      <c r="B44" s="60">
        <f t="shared" si="1"/>
        <v>5</v>
      </c>
      <c r="C44" s="100" t="str">
        <f>IF($J$10=TRUE,"Do you have a procedure and system in place to deal with customer complaints? What methodology is used to investigate the root cause of deviations? Is it considered effective?","Possui procedimento e sistemática implementada para tratativa de reclamações de clientes? Qual a metodologia utilizada para investigação de causa raíz dos desvios? É considerada eficaz?")</f>
        <v>Possui procedimento e sistemática implementada para tratativa de reclamações de clientes? Qual a metodologia utilizada para investigação de causa raíz dos desvios? É considerada eficaz?</v>
      </c>
      <c r="D44" s="129"/>
      <c r="E44" s="129"/>
      <c r="F44" s="129"/>
      <c r="G44" s="129"/>
      <c r="H44" s="166"/>
      <c r="I44" s="166"/>
    </row>
    <row r="45" spans="2:10" ht="48.75" customHeight="1" x14ac:dyDescent="0.2">
      <c r="B45" s="60">
        <f t="shared" si="1"/>
        <v>6</v>
      </c>
      <c r="C45" s="100" t="str">
        <f>IF($J$10=TRUE,"Are there criteria established for the selection/receipt of raw materials and other materials based on product safety? What criteria?","Existem critérios estabelecidos para a seleção/recebimento das matérias-primas e demais materiais  baseados na segurança do produto? Quais critérios?")</f>
        <v>Existem critérios estabelecidos para a seleção/recebimento das matérias-primas e demais materiais  baseados na segurança do produto? Quais critérios?</v>
      </c>
      <c r="D45" s="129"/>
      <c r="E45" s="129"/>
      <c r="F45" s="129"/>
      <c r="G45" s="129"/>
      <c r="H45" s="228" t="s">
        <v>45</v>
      </c>
      <c r="I45" s="228"/>
    </row>
    <row r="46" spans="2:10" ht="39.75" customHeight="1" x14ac:dyDescent="0.2">
      <c r="B46" s="60">
        <f t="shared" si="1"/>
        <v>7</v>
      </c>
      <c r="C46" s="100" t="str">
        <f>IF($J$10=TRUE,"Is countertest samples stored? For how long?","É realizado o armazenamento de amostras contraprova? Por quanto tempo?")</f>
        <v>É realizado o armazenamento de amostras contraprova? Por quanto tempo?</v>
      </c>
      <c r="D46" s="129"/>
      <c r="E46" s="129"/>
      <c r="F46" s="129"/>
      <c r="G46" s="129"/>
      <c r="H46" s="228" t="s">
        <v>45</v>
      </c>
      <c r="I46" s="228"/>
    </row>
    <row r="47" spans="2:10" x14ac:dyDescent="0.2">
      <c r="B47" s="36"/>
      <c r="I47" s="24"/>
    </row>
    <row r="48" spans="2:10" ht="15.75" x14ac:dyDescent="0.2">
      <c r="B48" s="167" t="str">
        <f>IF($J$10=TRUE,"GOOD MANUFACTURING PRACTICES AND QUALITY AND FOOD SAFETY MANAGEMENT SYSTEM","BOAS PRÁTICAS DE FABRICAÇÃO  E  SISTEMA DE GESTÃO DE QUALIDADE E SEGURANÇA DE ALIMENTOS ")</f>
        <v xml:space="preserve">BOAS PRÁTICAS DE FABRICAÇÃO  E  SISTEMA DE GESTÃO DE QUALIDADE E SEGURANÇA DE ALIMENTOS </v>
      </c>
      <c r="C48" s="168"/>
      <c r="D48" s="168"/>
      <c r="E48" s="168"/>
      <c r="F48" s="168"/>
      <c r="G48" s="168"/>
      <c r="H48" s="168"/>
      <c r="I48" s="169"/>
    </row>
    <row r="49" spans="2:9" ht="26.25" customHeight="1" x14ac:dyDescent="0.2">
      <c r="B49" s="170" t="str">
        <f>IF($J$10=TRUE,"Items (Answer the question with an X. If the answer is NA, please justify the answer at the Observation field.","Itens (Selecione a resposta com X) / Se NA, justificar em Observações")</f>
        <v>Itens (Selecione a resposta com X) / Se NA, justificar em Observações</v>
      </c>
      <c r="C49" s="171"/>
      <c r="D49" s="114" t="str">
        <f>IF($J$10=TRUE,"Yes","Sim")</f>
        <v>Sim</v>
      </c>
      <c r="E49" s="114" t="str">
        <f>IF($J$10=TRUE,"No","Não")</f>
        <v>Não</v>
      </c>
      <c r="F49" s="114" t="str">
        <f>IF($J$10=TRUE,"In progress","Em andamento")</f>
        <v>Em andamento</v>
      </c>
      <c r="G49" s="113" t="str">
        <f>IF($J$10=TRUE,"NA (not applicable)","NA")</f>
        <v>NA</v>
      </c>
      <c r="H49" s="172" t="str">
        <f>IF($J$10=TRUE,"Observation","Observações")</f>
        <v>Observações</v>
      </c>
      <c r="I49" s="173"/>
    </row>
    <row r="50" spans="2:9" ht="25.5" x14ac:dyDescent="0.2">
      <c r="B50" s="60">
        <f>B46+1</f>
        <v>8</v>
      </c>
      <c r="C50" s="99" t="str">
        <f>IF($J$10=TRUE,"Is there a Good Manufacturing Practices (GMP) program in place?","Existe um programa de Boas Práticas de Fabricação (BPF) implantado?")</f>
        <v>Existe um programa de Boas Práticas de Fabricação (BPF) implantado?</v>
      </c>
      <c r="D50" s="129"/>
      <c r="E50" s="129"/>
      <c r="F50" s="129"/>
      <c r="G50" s="129"/>
      <c r="H50" s="166"/>
      <c r="I50" s="166"/>
    </row>
    <row r="51" spans="2:9" ht="24.75" customHeight="1" x14ac:dyDescent="0.2">
      <c r="B51" s="60">
        <f t="shared" ref="B51:B58" si="2">B50+1</f>
        <v>9</v>
      </c>
      <c r="C51" s="100" t="str">
        <f>IF($J$10=TRUE,"Does the company have a Good Manufacturing Practices Manual?","A empresa possui Manual de Boas Práticas de Fabricação?")</f>
        <v>A empresa possui Manual de Boas Práticas de Fabricação?</v>
      </c>
      <c r="D51" s="129"/>
      <c r="E51" s="129"/>
      <c r="F51" s="129"/>
      <c r="G51" s="129"/>
      <c r="H51" s="166"/>
      <c r="I51" s="166"/>
    </row>
    <row r="52" spans="2:9" x14ac:dyDescent="0.2">
      <c r="B52" s="60">
        <f t="shared" si="2"/>
        <v>10</v>
      </c>
      <c r="C52" s="100" t="str">
        <f>IF($J$10=TRUE,"Existence and use of PPE?","Existência e uso de EPIs?")</f>
        <v>Existência e uso de EPIs?</v>
      </c>
      <c r="D52" s="129"/>
      <c r="E52" s="129"/>
      <c r="F52" s="129"/>
      <c r="G52" s="129"/>
      <c r="H52" s="166"/>
      <c r="I52" s="166"/>
    </row>
    <row r="53" spans="2:9" ht="76.5" x14ac:dyDescent="0.2">
      <c r="B53" s="60">
        <f t="shared" si="2"/>
        <v>11</v>
      </c>
      <c r="C53" s="100" t="str">
        <f>IF($J$10=TRUE,"Does the company have a formalized system for retaining and releasing raw materials, products in process and finished products, based on the results of their analysis?","A empresa possui sistemática formalizada para retenção e liberação de matérias primas, produtos em processo e produtos acabados, com base nos resultados de análises dos mesmos?")</f>
        <v>A empresa possui sistemática formalizada para retenção e liberação de matérias primas, produtos em processo e produtos acabados, com base nos resultados de análises dos mesmos?</v>
      </c>
      <c r="D53" s="129"/>
      <c r="E53" s="129"/>
      <c r="F53" s="129"/>
      <c r="G53" s="129"/>
      <c r="H53" s="166"/>
      <c r="I53" s="166"/>
    </row>
    <row r="54" spans="2:9" ht="51" x14ac:dyDescent="0.2">
      <c r="B54" s="60">
        <f t="shared" si="2"/>
        <v>12</v>
      </c>
      <c r="C54" s="100" t="str">
        <f>IF($J$10=TRUE,"Does the company have a Glass Policy defined? Inventory carried out in the areas, and frequent monitoring established?","A empresa tem definida uma Política de Vidros? Inventário realizado nas áreas, e monitoramento com frequência estabelecida?")</f>
        <v>A empresa tem definida uma Política de Vidros? Inventário realizado nas áreas, e monitoramento com frequência estabelecida?</v>
      </c>
      <c r="D54" s="129"/>
      <c r="E54" s="129"/>
      <c r="F54" s="129"/>
      <c r="G54" s="129"/>
      <c r="H54" s="166"/>
      <c r="I54" s="166"/>
    </row>
    <row r="55" spans="2:9" ht="63.75" x14ac:dyDescent="0.2">
      <c r="B55" s="60">
        <f t="shared" si="2"/>
        <v>13</v>
      </c>
      <c r="C55" s="100" t="str">
        <f>IF($J$10=TRUE,"The company has a documented preventive and corrective maintenance program. It includes a list of production equipment, frequency and responsibility for maintenance.","A empresa possui um programa de manutenção preventiva e corretiva documentado. Ele inclui uma lista de equipamentos de produção, frequência e responsabilidade pela manutenção.")</f>
        <v>A empresa possui um programa de manutenção preventiva e corretiva documentado. Ele inclui uma lista de equipamentos de produção, frequência e responsabilidade pela manutenção.</v>
      </c>
      <c r="D55" s="129"/>
      <c r="E55" s="129"/>
      <c r="F55" s="129"/>
      <c r="G55" s="129"/>
      <c r="H55" s="166"/>
      <c r="I55" s="166"/>
    </row>
    <row r="56" spans="2:9" ht="38.25" x14ac:dyDescent="0.2">
      <c r="B56" s="60">
        <f t="shared" si="2"/>
        <v>14</v>
      </c>
      <c r="C56" s="100" t="str">
        <f>IF($J$10=TRUE,"Is there a calibration plan for equipment considered critical? Validated reports/information?","Existe plano de calibração dos equipamentos considerados críticos? Laudos/ informações validadas?")</f>
        <v>Existe plano de calibração dos equipamentos considerados críticos? Laudos/ informações validadas?</v>
      </c>
      <c r="D56" s="129"/>
      <c r="E56" s="129"/>
      <c r="F56" s="129"/>
      <c r="G56" s="129"/>
      <c r="H56" s="166"/>
      <c r="I56" s="166"/>
    </row>
    <row r="57" spans="2:9" ht="38.25" x14ac:dyDescent="0.2">
      <c r="B57" s="60">
        <f t="shared" si="2"/>
        <v>15</v>
      </c>
      <c r="C57" s="100" t="str">
        <f>IF($J$10=TRUE,"Does the specialized company collect any waste arising from its activities?","A empresa especializada recolhe qualquer resíduo oriundo de suas atividades?")</f>
        <v>A empresa especializada recolhe qualquer resíduo oriundo de suas atividades?</v>
      </c>
      <c r="D57" s="129"/>
      <c r="E57" s="129"/>
      <c r="F57" s="129"/>
      <c r="G57" s="129"/>
      <c r="H57" s="166"/>
      <c r="I57" s="166"/>
    </row>
    <row r="58" spans="2:9" ht="24.75" customHeight="1" x14ac:dyDescent="0.2">
      <c r="B58" s="60">
        <f t="shared" si="2"/>
        <v>16</v>
      </c>
      <c r="C58" s="100" t="str">
        <f>IF($J$10=TRUE,"Do all employees receive training on their activities?","Todos os funcionários recebem treinamento sobre as suas atividades?")</f>
        <v>Todos os funcionários recebem treinamento sobre as suas atividades?</v>
      </c>
      <c r="D58" s="129"/>
      <c r="E58" s="129"/>
      <c r="F58" s="129"/>
      <c r="G58" s="129"/>
      <c r="H58" s="166"/>
      <c r="I58" s="166"/>
    </row>
    <row r="59" spans="2:9" x14ac:dyDescent="0.2">
      <c r="B59" s="36"/>
      <c r="I59" s="24"/>
    </row>
    <row r="60" spans="2:9" ht="15.75" x14ac:dyDescent="0.2">
      <c r="B60" s="167" t="str">
        <f>IF($J$10=TRUE,"HEALTH AND SAFETY, ENVIRONMENT AND SOCIAL RESPONSIBILITY","SAÚDE E SEGURANÇA, MEIO AMBIENTE E  RESPONSABILIDADE SOCIAL")</f>
        <v>SAÚDE E SEGURANÇA, MEIO AMBIENTE E  RESPONSABILIDADE SOCIAL</v>
      </c>
      <c r="C60" s="168"/>
      <c r="D60" s="168"/>
      <c r="E60" s="168"/>
      <c r="F60" s="168"/>
      <c r="G60" s="168"/>
      <c r="H60" s="168"/>
      <c r="I60" s="169"/>
    </row>
    <row r="61" spans="2:9" ht="29.25" customHeight="1" x14ac:dyDescent="0.2">
      <c r="B61" s="170" t="str">
        <f>IF($J$10=TRUE,"Items (Answer the question with an X. If the answer is NA, please justify the answer at the Observation field.","Itens (Selecione a resposta com X) / Se NA, justificar em Observações")</f>
        <v>Itens (Selecione a resposta com X) / Se NA, justificar em Observações</v>
      </c>
      <c r="C61" s="171"/>
      <c r="D61" s="114" t="str">
        <f>IF($J$10=TRUE,"Yes","Sim")</f>
        <v>Sim</v>
      </c>
      <c r="E61" s="114" t="str">
        <f>IF($J$10=TRUE,"No","Não")</f>
        <v>Não</v>
      </c>
      <c r="F61" s="114" t="str">
        <f>IF($J$10=TRUE,"In progress","Em andamento")</f>
        <v>Em andamento</v>
      </c>
      <c r="G61" s="113" t="str">
        <f>IF($J$10=TRUE,"NA (not applicable)","NA")</f>
        <v>NA</v>
      </c>
      <c r="H61" s="172" t="str">
        <f>IF($J$10=TRUE,"Observation","Observações")</f>
        <v>Observações</v>
      </c>
      <c r="I61" s="173"/>
    </row>
    <row r="62" spans="2:9" ht="54" customHeight="1" x14ac:dyDescent="0.2">
      <c r="B62" s="60">
        <f>B58+1</f>
        <v>17</v>
      </c>
      <c r="C62" s="99" t="str">
        <f>IF($J$10=TRUE,"Does the company have a formally defined social responsibility policy, implemented and understood at all levels of the organization?","A empresa possui política de responsabilidade social formalmente definida, implementada e compreendida em todos os níveis da organização?")</f>
        <v>A empresa possui política de responsabilidade social formalmente definida, implementada e compreendida em todos os níveis da organização?</v>
      </c>
      <c r="D62" s="129"/>
      <c r="E62" s="129"/>
      <c r="F62" s="129"/>
      <c r="G62" s="129"/>
      <c r="H62" s="166"/>
      <c r="I62" s="166"/>
    </row>
    <row r="63" spans="2:9" ht="51" x14ac:dyDescent="0.2">
      <c r="B63" s="60">
        <f t="shared" ref="B63:B72" si="3">B62+1</f>
        <v>18</v>
      </c>
      <c r="C63" s="99" t="str">
        <f>IF($J$10=TRUE,"Does the company have a certified social responsibility system? If so, please forward a copy of the certificate.","A empresa possui sistema de responsabilidade social certificado? Em caso afirmativo, por favor, encaminhar a cópia do certificado.")</f>
        <v>A empresa possui sistema de responsabilidade social certificado? Em caso afirmativo, por favor, encaminhar a cópia do certificado.</v>
      </c>
      <c r="D63" s="129"/>
      <c r="E63" s="129"/>
      <c r="F63" s="129"/>
      <c r="G63" s="129"/>
      <c r="H63" s="166"/>
      <c r="I63" s="166"/>
    </row>
    <row r="64" spans="2:9" ht="57.75" customHeight="1" x14ac:dyDescent="0.2">
      <c r="B64" s="60">
        <f t="shared" si="3"/>
        <v>19</v>
      </c>
      <c r="C64" s="99" t="str">
        <f>IF($J$10=TRUE,"Does the company comply with current labor and tax legislation applicable to all company activities and locations where it operates?","A empresa cumpre as legislações vigentes, trabalhistas, tributárias, aplicáveis em todas as atividades da empresa e locais onde ela atua?")</f>
        <v>A empresa cumpre as legislações vigentes, trabalhistas, tributárias, aplicáveis em todas as atividades da empresa e locais onde ela atua?</v>
      </c>
      <c r="D64" s="129"/>
      <c r="E64" s="129"/>
      <c r="F64" s="129"/>
      <c r="G64" s="129"/>
      <c r="H64" s="166"/>
      <c r="I64" s="166"/>
    </row>
    <row r="65" spans="2:9" ht="56.25" customHeight="1" x14ac:dyDescent="0.2">
      <c r="B65" s="60">
        <f t="shared" si="3"/>
        <v>20</v>
      </c>
      <c r="C65" s="99" t="str">
        <f>IF($J$10=TRUE,"Do all employees receive training on their activities?","A empresa possui política para saúde e segurança formalmente definida, implementada e compreendida em todos os níveis da organização?")</f>
        <v>A empresa possui política para saúde e segurança formalmente definida, implementada e compreendida em todos os níveis da organização?</v>
      </c>
      <c r="D65" s="129"/>
      <c r="E65" s="129"/>
      <c r="F65" s="129"/>
      <c r="G65" s="129"/>
      <c r="H65" s="166"/>
      <c r="I65" s="166"/>
    </row>
    <row r="66" spans="2:9" ht="51" x14ac:dyDescent="0.2">
      <c r="B66" s="60">
        <f t="shared" si="3"/>
        <v>21</v>
      </c>
      <c r="C66" s="99" t="str">
        <f>IF($J$10=TRUE,"Does the company have a health and safety policy that is formally defined, implemented and understood at all levels of the organization?","A empresa possui sistema de gestão de saúde e segurança implementado? Caso seja certificado, por favor, encaminhar a cópia.")</f>
        <v>A empresa possui sistema de gestão de saúde e segurança implementado? Caso seja certificado, por favor, encaminhar a cópia.</v>
      </c>
      <c r="D66" s="129"/>
      <c r="E66" s="129"/>
      <c r="F66" s="129"/>
      <c r="G66" s="129"/>
      <c r="H66" s="166"/>
      <c r="I66" s="166"/>
    </row>
    <row r="67" spans="2:9" ht="38.25" x14ac:dyDescent="0.2">
      <c r="B67" s="60">
        <f t="shared" si="3"/>
        <v>22</v>
      </c>
      <c r="C67" s="99" t="str">
        <f>IF($J$10=TRUE,"Does the company comply with applicable laws related to health and safety?","A empresa cumpre com as leis aplicáveis relacionadas à saúde e segurança?")</f>
        <v>A empresa cumpre com as leis aplicáveis relacionadas à saúde e segurança?</v>
      </c>
      <c r="D67" s="129"/>
      <c r="E67" s="129"/>
      <c r="F67" s="129"/>
      <c r="G67" s="129"/>
      <c r="H67" s="166"/>
      <c r="I67" s="166"/>
    </row>
    <row r="68" spans="2:9" ht="51" x14ac:dyDescent="0.2">
      <c r="B68" s="60">
        <f t="shared" si="3"/>
        <v>23</v>
      </c>
      <c r="C68" s="99" t="str">
        <f>IF($J$10=TRUE,"Does the company have an environmental policy formally defined, implemented and understood at all levels of the organization?","A empresa possui uma política ambiental formalmente definida, implementada e compreendida em todos os níveis da organização?")</f>
        <v>A empresa possui uma política ambiental formalmente definida, implementada e compreendida em todos os níveis da organização?</v>
      </c>
      <c r="D68" s="129"/>
      <c r="E68" s="129"/>
      <c r="F68" s="129"/>
      <c r="G68" s="129"/>
      <c r="H68" s="166"/>
      <c r="I68" s="166"/>
    </row>
    <row r="69" spans="2:9" ht="51" x14ac:dyDescent="0.2">
      <c r="B69" s="60">
        <f t="shared" si="3"/>
        <v>24</v>
      </c>
      <c r="C69" s="99" t="str">
        <f>IF($J$10=TRUE,"Does the company have an environmental management system implemented? If certified, please forward a copy."," A empresa possui sistema de gestão de meio ambiente implementado? Caso seja certificado, por favor, encaminhar a cópia.")</f>
        <v xml:space="preserve"> A empresa possui sistema de gestão de meio ambiente implementado? Caso seja certificado, por favor, encaminhar a cópia.</v>
      </c>
      <c r="D69" s="129"/>
      <c r="E69" s="129"/>
      <c r="F69" s="129"/>
      <c r="G69" s="129"/>
      <c r="H69" s="166"/>
      <c r="I69" s="166"/>
    </row>
    <row r="70" spans="2:9" ht="25.5" x14ac:dyDescent="0.2">
      <c r="B70" s="60">
        <f t="shared" si="3"/>
        <v>25</v>
      </c>
      <c r="C70" s="99" t="str">
        <f>IF($J$10=TRUE,"Are environmental laws applicable to your company being complied with?","As leis ambientais aplicáveis à sua empresa estão sendo cumpridas?")</f>
        <v>As leis ambientais aplicáveis à sua empresa estão sendo cumpridas?</v>
      </c>
      <c r="D70" s="129"/>
      <c r="E70" s="129"/>
      <c r="F70" s="129"/>
      <c r="G70" s="129"/>
      <c r="H70" s="166"/>
      <c r="I70" s="166"/>
    </row>
    <row r="71" spans="2:9" ht="51" x14ac:dyDescent="0.2">
      <c r="B71" s="60">
        <f t="shared" si="3"/>
        <v>26</v>
      </c>
      <c r="C71" s="99" t="str">
        <f>IF($J$10=TRUE,"Is the waste generated properly treated, in accordance with current legislation? If yes, describe the treatments.","Os resíduos gerados têm o devido tratamento, de acordo com a legislação vigente? Se sim, descreva os tratamentos.")</f>
        <v>Os resíduos gerados têm o devido tratamento, de acordo com a legislação vigente? Se sim, descreva os tratamentos.</v>
      </c>
      <c r="D71" s="129"/>
      <c r="E71" s="129"/>
      <c r="F71" s="129"/>
      <c r="G71" s="129"/>
      <c r="H71" s="166"/>
      <c r="I71" s="166"/>
    </row>
    <row r="72" spans="2:9" ht="51" x14ac:dyDescent="0.2">
      <c r="B72" s="60">
        <f t="shared" si="3"/>
        <v>27</v>
      </c>
      <c r="C72" s="99" t="str">
        <f>IF($J$10=TRUE,"Are aspects and parameters related to the environment measured, monitored and analyzed with the aim of improving them?","Os aspectos e parâmetros relacionados ao meio ambiente são medidos, monitorados e analisados objetivando a sua melhoria?")</f>
        <v>Os aspectos e parâmetros relacionados ao meio ambiente são medidos, monitorados e analisados objetivando a sua melhoria?</v>
      </c>
      <c r="D72" s="129"/>
      <c r="E72" s="129"/>
      <c r="F72" s="129"/>
      <c r="G72" s="129"/>
      <c r="H72" s="166"/>
      <c r="I72" s="166"/>
    </row>
    <row r="74" spans="2:9" ht="25.5" customHeight="1" x14ac:dyDescent="0.2">
      <c r="B74" s="177" t="str">
        <f>IF($J$10=TRUE,"I declare that all information is true and that any changes in the manufacturing process, specification, or any other changes that impact the quality and/or traceability of the product supplied will be duly communicated to ICC Brazil.","Declaro que todas as informações são verídicas e que qualquer alteração no processo de fabricação, especificação, ou quaisquer outras mudanças que impactem na qualidade e/ou rastreabilidade do produto fornecido serão devidamente comunicados a ICC Brazil.")</f>
        <v>Declaro que todas as informações são verídicas e que qualquer alteração no processo de fabricação, especificação, ou quaisquer outras mudanças que impactem na qualidade e/ou rastreabilidade do produto fornecido serão devidamente comunicados a ICC Brazil.</v>
      </c>
      <c r="C74" s="177"/>
      <c r="D74" s="177"/>
      <c r="E74" s="177"/>
      <c r="F74" s="177"/>
      <c r="G74" s="177"/>
      <c r="H74" s="177"/>
      <c r="I74" s="177"/>
    </row>
    <row r="75" spans="2:9" x14ac:dyDescent="0.2">
      <c r="C75" s="48"/>
    </row>
    <row r="76" spans="2:9" x14ac:dyDescent="0.2">
      <c r="C76" s="65" t="str">
        <f>IF($J$10=TRUE,"Responsible for completing:","Responsável pelo preenchimento:")</f>
        <v>Responsável pelo preenchimento:</v>
      </c>
      <c r="D76" s="166"/>
      <c r="E76" s="166"/>
      <c r="F76" s="166"/>
      <c r="G76" s="166"/>
      <c r="H76" s="166"/>
    </row>
    <row r="77" spans="2:9" x14ac:dyDescent="0.2">
      <c r="C77" s="65" t="str">
        <f>IF($J$10=TRUE,"Job Title:","Cargo:")</f>
        <v>Cargo:</v>
      </c>
      <c r="D77" s="166"/>
      <c r="E77" s="166"/>
      <c r="F77" s="166"/>
      <c r="G77" s="166"/>
      <c r="H77" s="166"/>
    </row>
    <row r="78" spans="2:9" x14ac:dyDescent="0.2">
      <c r="C78" s="65" t="str">
        <f>IF($J$10=TRUE,"Date:","Data:")</f>
        <v>Data:</v>
      </c>
      <c r="D78" s="166"/>
      <c r="E78" s="166"/>
      <c r="F78" s="166"/>
      <c r="G78" s="166"/>
      <c r="H78" s="166"/>
    </row>
    <row r="79" spans="2:9" x14ac:dyDescent="0.2">
      <c r="C79" s="48"/>
    </row>
    <row r="80" spans="2:9" x14ac:dyDescent="0.2">
      <c r="C80" s="48"/>
    </row>
    <row r="81" spans="3:8" x14ac:dyDescent="0.2">
      <c r="C81" s="48"/>
    </row>
    <row r="82" spans="3:8" x14ac:dyDescent="0.2">
      <c r="C82" s="181"/>
      <c r="D82" s="181"/>
      <c r="E82" s="181"/>
      <c r="F82" s="181"/>
      <c r="G82" s="181"/>
      <c r="H82" s="181"/>
    </row>
    <row r="83" spans="3:8" x14ac:dyDescent="0.2">
      <c r="C83" s="175" t="str">
        <f>IF($J$10=TRUE,"Signature","Assinatura")</f>
        <v>Assinatura</v>
      </c>
      <c r="D83" s="176"/>
      <c r="E83" s="176"/>
      <c r="F83" s="176"/>
      <c r="G83" s="176"/>
      <c r="H83" s="176"/>
    </row>
  </sheetData>
  <sheetProtection algorithmName="SHA-512" hashValue="aoz7hh3LoUK+8O3tLhdQ32C3M2ISiSU6oK7uNXYf4BTw6nrrEutiEPz400Hev68Yzc6QgQljvTJh/g5Avg+wuw==" saltValue="jTOipn8RoRFySkFsBI8suw==" spinCount="100000" sheet="1"/>
  <mergeCells count="79">
    <mergeCell ref="F27:H27"/>
    <mergeCell ref="F29:H29"/>
    <mergeCell ref="H56:I56"/>
    <mergeCell ref="H57:I57"/>
    <mergeCell ref="H45:I45"/>
    <mergeCell ref="H55:I55"/>
    <mergeCell ref="H46:I46"/>
    <mergeCell ref="H50:I50"/>
    <mergeCell ref="H51:I51"/>
    <mergeCell ref="H52:I52"/>
    <mergeCell ref="H53:I53"/>
    <mergeCell ref="H54:I54"/>
    <mergeCell ref="B48:I48"/>
    <mergeCell ref="B49:C49"/>
    <mergeCell ref="H49:I49"/>
    <mergeCell ref="H44:I44"/>
    <mergeCell ref="D30:E30"/>
    <mergeCell ref="B39:C39"/>
    <mergeCell ref="H39:I39"/>
    <mergeCell ref="H40:I40"/>
    <mergeCell ref="H43:I43"/>
    <mergeCell ref="H41:I41"/>
    <mergeCell ref="H42:I42"/>
    <mergeCell ref="F28:H28"/>
    <mergeCell ref="B38:I38"/>
    <mergeCell ref="C20:H20"/>
    <mergeCell ref="F30:H30"/>
    <mergeCell ref="D21:E21"/>
    <mergeCell ref="D22:E22"/>
    <mergeCell ref="D23:E23"/>
    <mergeCell ref="D24:E24"/>
    <mergeCell ref="D25:E25"/>
    <mergeCell ref="D26:E26"/>
    <mergeCell ref="D27:E27"/>
    <mergeCell ref="D28:E28"/>
    <mergeCell ref="D29:E29"/>
    <mergeCell ref="F24:H24"/>
    <mergeCell ref="F25:H25"/>
    <mergeCell ref="F26:H26"/>
    <mergeCell ref="J1:J2"/>
    <mergeCell ref="J3:J4"/>
    <mergeCell ref="D15:H15"/>
    <mergeCell ref="C10:H10"/>
    <mergeCell ref="C11:H11"/>
    <mergeCell ref="C12:H12"/>
    <mergeCell ref="C13:H13"/>
    <mergeCell ref="D14:H14"/>
    <mergeCell ref="B5:H5"/>
    <mergeCell ref="E6:F6"/>
    <mergeCell ref="B14:C14"/>
    <mergeCell ref="A1:B4"/>
    <mergeCell ref="C1:I4"/>
    <mergeCell ref="C82:H82"/>
    <mergeCell ref="C83:H83"/>
    <mergeCell ref="B15:C15"/>
    <mergeCell ref="I34:J34"/>
    <mergeCell ref="B37:I37"/>
    <mergeCell ref="F21:H21"/>
    <mergeCell ref="F22:H22"/>
    <mergeCell ref="F23:H23"/>
    <mergeCell ref="H71:I71"/>
    <mergeCell ref="H72:I72"/>
    <mergeCell ref="H64:I64"/>
    <mergeCell ref="H65:I65"/>
    <mergeCell ref="H66:I66"/>
    <mergeCell ref="H67:I67"/>
    <mergeCell ref="H68:I68"/>
    <mergeCell ref="B74:I74"/>
    <mergeCell ref="D76:H76"/>
    <mergeCell ref="D77:H77"/>
    <mergeCell ref="D78:H78"/>
    <mergeCell ref="H58:I58"/>
    <mergeCell ref="B60:I60"/>
    <mergeCell ref="H61:I61"/>
    <mergeCell ref="B61:C61"/>
    <mergeCell ref="H62:I62"/>
    <mergeCell ref="H63:I63"/>
    <mergeCell ref="H69:I69"/>
    <mergeCell ref="H70:I70"/>
  </mergeCells>
  <dataValidations count="1">
    <dataValidation type="list" allowBlank="1" showInputMessage="1" showErrorMessage="1" sqref="D22:E30">
      <formula1>"SIM/YES,NÃO/NO"</formula1>
    </dataValidation>
  </dataValidations>
  <pageMargins left="0.511811024" right="0.511811024" top="0.78740157499999996" bottom="0.78740157499999996" header="0.31496062000000002" footer="0.31496062000000002"/>
  <drawing r:id="rId1"/>
  <legacyDrawing r:id="rId2"/>
  <mc:AlternateContent xmlns:mc="http://schemas.openxmlformats.org/markup-compatibility/2006">
    <mc:Choice Requires="x14">
      <controls>
        <mc:AlternateContent xmlns:mc="http://schemas.openxmlformats.org/markup-compatibility/2006">
          <mc:Choice Requires="x14">
            <control shapeId="37501" r:id="rId3" name="Check Box 1661">
              <controlPr locked="0" defaultSize="0" autoFill="0" autoLine="0" autoPict="0">
                <anchor moveWithCells="1">
                  <from>
                    <xdr:col>3</xdr:col>
                    <xdr:colOff>171450</xdr:colOff>
                    <xdr:row>4</xdr:row>
                    <xdr:rowOff>371475</xdr:rowOff>
                  </from>
                  <to>
                    <xdr:col>5</xdr:col>
                    <xdr:colOff>361950</xdr:colOff>
                    <xdr:row>6</xdr:row>
                    <xdr:rowOff>133350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9"/>
  <dimension ref="A1:K81"/>
  <sheetViews>
    <sheetView showGridLines="0" workbookViewId="0">
      <selection activeCell="J5" sqref="J5"/>
    </sheetView>
  </sheetViews>
  <sheetFormatPr defaultColWidth="0" defaultRowHeight="12.75" x14ac:dyDescent="0.2"/>
  <cols>
    <col min="1" max="1" width="4.5703125" customWidth="1"/>
    <col min="2" max="2" width="19" customWidth="1"/>
    <col min="3" max="3" width="28.7109375" customWidth="1"/>
    <col min="4" max="5" width="7.7109375" customWidth="1"/>
    <col min="6" max="6" width="20.7109375" customWidth="1"/>
    <col min="7" max="7" width="7.7109375" customWidth="1"/>
    <col min="8" max="8" width="20.7109375" customWidth="1"/>
    <col min="9" max="9" width="18.7109375" customWidth="1"/>
    <col min="10" max="10" width="16.140625" customWidth="1"/>
    <col min="11" max="11" width="33.7109375" hidden="1" customWidth="1"/>
  </cols>
  <sheetData>
    <row r="1" spans="1:10" ht="12.75" customHeight="1" x14ac:dyDescent="0.2">
      <c r="A1" s="195"/>
      <c r="B1" s="196"/>
      <c r="C1" s="193" t="s">
        <v>17</v>
      </c>
      <c r="D1" s="159"/>
      <c r="E1" s="159"/>
      <c r="F1" s="159"/>
      <c r="G1" s="159"/>
      <c r="H1" s="159"/>
      <c r="I1" s="159"/>
      <c r="J1" s="147" t="s">
        <v>42</v>
      </c>
    </row>
    <row r="2" spans="1:10" ht="12.75" customHeight="1" x14ac:dyDescent="0.2">
      <c r="A2" s="197"/>
      <c r="B2" s="198"/>
      <c r="C2" s="193"/>
      <c r="D2" s="159"/>
      <c r="E2" s="159"/>
      <c r="F2" s="159"/>
      <c r="G2" s="159"/>
      <c r="H2" s="159"/>
      <c r="I2" s="159"/>
      <c r="J2" s="148"/>
    </row>
    <row r="3" spans="1:10" ht="12.75" customHeight="1" x14ac:dyDescent="0.2">
      <c r="A3" s="197"/>
      <c r="B3" s="198"/>
      <c r="C3" s="193"/>
      <c r="D3" s="159"/>
      <c r="E3" s="159"/>
      <c r="F3" s="159"/>
      <c r="G3" s="159"/>
      <c r="H3" s="159"/>
      <c r="I3" s="159"/>
      <c r="J3" s="148" t="s">
        <v>80</v>
      </c>
    </row>
    <row r="4" spans="1:10" ht="13.5" customHeight="1" thickBot="1" x14ac:dyDescent="0.25">
      <c r="A4" s="199"/>
      <c r="B4" s="200"/>
      <c r="C4" s="194"/>
      <c r="D4" s="161"/>
      <c r="E4" s="161"/>
      <c r="F4" s="161"/>
      <c r="G4" s="161"/>
      <c r="H4" s="161"/>
      <c r="I4" s="161"/>
      <c r="J4" s="149"/>
    </row>
    <row r="5" spans="1:10" ht="26.25" customHeight="1" x14ac:dyDescent="0.2">
      <c r="B5" s="203" t="s">
        <v>43</v>
      </c>
      <c r="C5" s="203"/>
      <c r="D5" s="203"/>
      <c r="E5" s="203"/>
      <c r="F5" s="203"/>
      <c r="G5" s="203"/>
      <c r="H5" s="203"/>
    </row>
    <row r="6" spans="1:10" x14ac:dyDescent="0.2">
      <c r="B6" s="10"/>
      <c r="C6" s="111"/>
      <c r="D6" s="10"/>
      <c r="E6" s="214"/>
      <c r="F6" s="214"/>
    </row>
    <row r="7" spans="1:10" x14ac:dyDescent="0.2">
      <c r="B7" s="10"/>
      <c r="C7" s="10"/>
    </row>
    <row r="8" spans="1:10" ht="11.25" customHeight="1" x14ac:dyDescent="0.2">
      <c r="B8" s="19"/>
      <c r="C8" s="20"/>
      <c r="D8" s="21"/>
      <c r="E8" s="21"/>
      <c r="F8" s="21"/>
      <c r="G8" s="21"/>
      <c r="H8" s="21"/>
      <c r="I8" s="22"/>
    </row>
    <row r="9" spans="1:10" x14ac:dyDescent="0.2">
      <c r="B9" s="23"/>
      <c r="C9" s="10"/>
      <c r="I9" s="24"/>
    </row>
    <row r="10" spans="1:10" ht="18" customHeight="1" x14ac:dyDescent="0.25">
      <c r="B10" s="25" t="str">
        <f>IF($J$10=TRUE,"Corporate Name:","Razão Social:")</f>
        <v>Razão Social:</v>
      </c>
      <c r="C10" s="204"/>
      <c r="D10" s="204"/>
      <c r="E10" s="204"/>
      <c r="F10" s="204"/>
      <c r="G10" s="204"/>
      <c r="H10" s="204"/>
      <c r="I10" s="26"/>
      <c r="J10" s="128" t="b">
        <v>0</v>
      </c>
    </row>
    <row r="11" spans="1:10" ht="18" customHeight="1" x14ac:dyDescent="0.25">
      <c r="B11" s="25" t="str">
        <f>IF($J$10=TRUE,"Fantasy Name:","Nome Fantasia:")</f>
        <v>Nome Fantasia:</v>
      </c>
      <c r="C11" s="215"/>
      <c r="D11" s="215"/>
      <c r="E11" s="215"/>
      <c r="F11" s="215"/>
      <c r="G11" s="215"/>
      <c r="H11" s="215"/>
      <c r="I11" s="26"/>
    </row>
    <row r="12" spans="1:10" ht="18" customHeight="1" x14ac:dyDescent="0.25">
      <c r="B12" s="25" t="str">
        <f>IF($J$10=TRUE,"TIN:","CNPJ:")</f>
        <v>CNPJ:</v>
      </c>
      <c r="C12" s="215"/>
      <c r="D12" s="215"/>
      <c r="E12" s="215"/>
      <c r="F12" s="215"/>
      <c r="G12" s="215"/>
      <c r="H12" s="215"/>
      <c r="I12" s="26"/>
    </row>
    <row r="13" spans="1:10" ht="18" customHeight="1" x14ac:dyDescent="0.25">
      <c r="B13" s="25" t="str">
        <f>IF($J$10=TRUE,"Adress:","Endereço:")</f>
        <v>Endereço:</v>
      </c>
      <c r="C13" s="215"/>
      <c r="D13" s="215"/>
      <c r="E13" s="215"/>
      <c r="F13" s="215"/>
      <c r="G13" s="215"/>
      <c r="H13" s="215"/>
      <c r="I13" s="26"/>
    </row>
    <row r="14" spans="1:10" ht="18" customHeight="1" x14ac:dyDescent="0.2">
      <c r="B14" s="164" t="str">
        <f>IF($J$10=TRUE,"Product supplied to ICC Brazil:","Produto (s) fornecido (s) para a ICC:")</f>
        <v>Produto (s) fornecido (s) para a ICC:</v>
      </c>
      <c r="C14" s="165"/>
      <c r="D14" s="216"/>
      <c r="E14" s="216"/>
      <c r="F14" s="216"/>
      <c r="G14" s="216"/>
      <c r="H14" s="216"/>
      <c r="I14" s="24"/>
    </row>
    <row r="15" spans="1:10" ht="18" customHeight="1" x14ac:dyDescent="0.2">
      <c r="B15" s="164" t="str">
        <f>IF($J$10=TRUE,"CEO:","Responsável Técnico:")</f>
        <v>Responsável Técnico:</v>
      </c>
      <c r="C15" s="165"/>
      <c r="D15" s="181"/>
      <c r="E15" s="181"/>
      <c r="F15" s="181"/>
      <c r="G15" s="181"/>
      <c r="H15" s="181"/>
      <c r="I15" s="24"/>
    </row>
    <row r="16" spans="1:10" x14ac:dyDescent="0.2">
      <c r="B16" s="28"/>
      <c r="C16" s="29"/>
      <c r="D16" s="30"/>
      <c r="E16" s="30"/>
      <c r="F16" s="30"/>
      <c r="G16" s="30"/>
      <c r="H16" s="30"/>
      <c r="I16" s="31"/>
    </row>
    <row r="17" spans="2:10" x14ac:dyDescent="0.2">
      <c r="B17" s="16"/>
      <c r="C17" s="16"/>
    </row>
    <row r="18" spans="2:10" x14ac:dyDescent="0.2">
      <c r="B18" s="16"/>
      <c r="C18" s="16"/>
    </row>
    <row r="19" spans="2:10" x14ac:dyDescent="0.2">
      <c r="B19" s="33"/>
      <c r="C19" s="34"/>
      <c r="D19" s="21"/>
      <c r="E19" s="21"/>
      <c r="F19" s="21"/>
      <c r="G19" s="21"/>
      <c r="H19" s="21"/>
      <c r="I19" s="22"/>
    </row>
    <row r="20" spans="2:10" x14ac:dyDescent="0.2">
      <c r="B20" s="35"/>
      <c r="C20" s="205" t="str">
        <f>IF($J$10=TRUE,"Please select the submitted documents below","Selecione abaixo os documentos enviados.")</f>
        <v>Selecione abaixo os documentos enviados.</v>
      </c>
      <c r="D20" s="205"/>
      <c r="E20" s="205"/>
      <c r="F20" s="205"/>
      <c r="G20" s="205"/>
      <c r="H20" s="205"/>
      <c r="I20" s="24"/>
    </row>
    <row r="21" spans="2:10" x14ac:dyDescent="0.2">
      <c r="B21" s="35"/>
      <c r="C21" s="44" t="str">
        <f>IF($J$10=TRUE,"REQUIREMENT","REQUISITO")</f>
        <v>REQUISITO</v>
      </c>
      <c r="D21" s="206" t="str">
        <f>IF($J$10=TRUE,"SENT","ENVIADO")</f>
        <v>ENVIADO</v>
      </c>
      <c r="E21" s="206"/>
      <c r="F21" s="187" t="str">
        <f>IF($J$10=TRUE,"DOCUMENTS","DOCUMENTOS")</f>
        <v>DOCUMENTOS</v>
      </c>
      <c r="G21" s="188"/>
      <c r="H21" s="189"/>
      <c r="I21" s="24"/>
    </row>
    <row r="22" spans="2:10" x14ac:dyDescent="0.2">
      <c r="B22" s="35"/>
      <c r="C22" s="47" t="str">
        <f t="shared" ref="C22:C31" si="0">IF($J$10=TRUE,"Mandatory","Obrigatório")</f>
        <v>Obrigatório</v>
      </c>
      <c r="D22" s="201"/>
      <c r="E22" s="201"/>
      <c r="F22" s="217" t="str">
        <f>IF($J$10=TRUE,"Licença de operação emitida pelo governo","Alvará da Prefeitura")</f>
        <v>Alvará da Prefeitura</v>
      </c>
      <c r="G22" s="218"/>
      <c r="H22" s="219"/>
      <c r="I22" s="24"/>
    </row>
    <row r="23" spans="2:10" ht="12.75" customHeight="1" x14ac:dyDescent="0.2">
      <c r="B23" s="35"/>
      <c r="C23" s="47" t="str">
        <f t="shared" si="0"/>
        <v>Obrigatório</v>
      </c>
      <c r="D23" s="201"/>
      <c r="E23" s="201"/>
      <c r="F23" s="217" t="str">
        <f>IF($J$10=TRUE,"Product registration with the Responsible Organ of the country of origin","Registro do produto junto ao órgão responsável")</f>
        <v>Registro do produto junto ao órgão responsável</v>
      </c>
      <c r="G23" s="218"/>
      <c r="H23" s="219"/>
      <c r="I23" s="24"/>
    </row>
    <row r="24" spans="2:10" ht="43.5" customHeight="1" x14ac:dyDescent="0.2">
      <c r="B24" s="36"/>
      <c r="C24" s="47" t="str">
        <f t="shared" si="0"/>
        <v>Obrigatório</v>
      </c>
      <c r="D24" s="201"/>
      <c r="E24" s="201"/>
      <c r="F24" s="217" t="str">
        <f>IF($J$10=TRUE,"License issued by the health agency","Certificado do Registro no MS/ANVISA do produto")</f>
        <v>Certificado do Registro no MS/ANVISA do produto</v>
      </c>
      <c r="G24" s="218"/>
      <c r="H24" s="219"/>
      <c r="I24" s="24"/>
    </row>
    <row r="25" spans="2:10" ht="43.5" customHeight="1" x14ac:dyDescent="0.2">
      <c r="B25" s="36"/>
      <c r="C25" s="47" t="str">
        <f t="shared" si="0"/>
        <v>Obrigatório</v>
      </c>
      <c r="D25" s="201"/>
      <c r="E25" s="201"/>
      <c r="F25" s="217" t="str">
        <f>IF($J$10=TRUE,"Company statement when the product is not registered with the health agency","Declaração da empresa quando o produto não registrado no MS/ANVISA")</f>
        <v>Declaração da empresa quando o produto não registrado no MS/ANVISA</v>
      </c>
      <c r="G25" s="218"/>
      <c r="H25" s="219"/>
      <c r="I25" s="24"/>
    </row>
    <row r="26" spans="2:10" ht="43.5" customHeight="1" x14ac:dyDescent="0.2">
      <c r="B26" s="36"/>
      <c r="C26" s="47" t="str">
        <f t="shared" si="0"/>
        <v>Obrigatório</v>
      </c>
      <c r="D26" s="201"/>
      <c r="E26" s="201"/>
      <c r="F26" s="217" t="str">
        <f>IF($J$10=TRUE,"Authorization to operate the establishment of the manufacturer and distributor by the public body","Autorização de funcionamento de estabelecimento (AFE) do fabricante e do distribuidor - MS/ANVISA- Facultativo para produtos não regulamentados pelo MS/ANVISA")</f>
        <v>Autorização de funcionamento de estabelecimento (AFE) do fabricante e do distribuidor - MS/ANVISA- Facultativo para produtos não regulamentados pelo MS/ANVISA</v>
      </c>
      <c r="G26" s="218"/>
      <c r="H26" s="219"/>
      <c r="I26" s="24"/>
    </row>
    <row r="27" spans="2:10" ht="43.5" customHeight="1" x14ac:dyDescent="0.2">
      <c r="B27" s="36"/>
      <c r="C27" s="47" t="str">
        <f t="shared" si="0"/>
        <v>Obrigatório</v>
      </c>
      <c r="D27" s="201"/>
      <c r="E27" s="201"/>
      <c r="F27" s="217" t="str">
        <f>IF($J$10=TRUE,"Product use instruction","Instrução de uso do produto")</f>
        <v>Instrução de uso do produto</v>
      </c>
      <c r="G27" s="218"/>
      <c r="H27" s="219"/>
      <c r="I27" s="24"/>
    </row>
    <row r="28" spans="2:10" ht="43.5" customHeight="1" x14ac:dyDescent="0.2">
      <c r="B28" s="36"/>
      <c r="C28" s="47" t="str">
        <f t="shared" si="0"/>
        <v>Obrigatório</v>
      </c>
      <c r="D28" s="201"/>
      <c r="E28" s="201"/>
      <c r="F28" s="217" t="str">
        <f>IF($J$10=TRUE,"Manufacturer's Good Manufacturing Practices Procedure","Procedimento de boas práticas de fabricação do fabricante")</f>
        <v>Procedimento de boas práticas de fabricação do fabricante</v>
      </c>
      <c r="G28" s="218"/>
      <c r="H28" s="219"/>
      <c r="I28" s="24"/>
    </row>
    <row r="29" spans="2:10" ht="20.25" customHeight="1" x14ac:dyDescent="0.2">
      <c r="B29" s="37"/>
      <c r="C29" s="47" t="str">
        <f t="shared" si="0"/>
        <v>Obrigatório</v>
      </c>
      <c r="D29" s="201"/>
      <c r="E29" s="201"/>
      <c r="F29" s="217" t="str">
        <f>IF($J$10=TRUE,"Material Safety Data Sheet (MSDS)","FISPQ")</f>
        <v>FISPQ</v>
      </c>
      <c r="G29" s="218"/>
      <c r="H29" s="219"/>
      <c r="I29" s="24"/>
      <c r="J29" s="32"/>
    </row>
    <row r="30" spans="2:10" ht="27" customHeight="1" x14ac:dyDescent="0.2">
      <c r="B30" s="36"/>
      <c r="C30" s="47" t="str">
        <f t="shared" si="0"/>
        <v>Obrigatório</v>
      </c>
      <c r="D30" s="201"/>
      <c r="E30" s="201"/>
      <c r="F30" s="217" t="str">
        <f>IF($J$10=TRUE,"Technical Specification Sheet (TS)","Ficha de Especificações Técnicas")</f>
        <v>Ficha de Especificações Técnicas</v>
      </c>
      <c r="G30" s="218"/>
      <c r="H30" s="219"/>
      <c r="I30" s="24"/>
    </row>
    <row r="31" spans="2:10" ht="27" customHeight="1" x14ac:dyDescent="0.2">
      <c r="B31" s="36"/>
      <c r="C31" s="47" t="str">
        <f t="shared" si="0"/>
        <v>Obrigatório</v>
      </c>
      <c r="D31" s="201"/>
      <c r="E31" s="201"/>
      <c r="F31" s="217" t="str">
        <f>IF($J$10=TRUE,"Dermal and ocular irritability test report from a qualified laboratory.","Laudo de teste de irritabilidade dérmica e ocular de laboratorio com habilitação.")</f>
        <v>Laudo de teste de irritabilidade dérmica e ocular de laboratorio com habilitação.</v>
      </c>
      <c r="G31" s="218"/>
      <c r="H31" s="219"/>
      <c r="I31" s="24"/>
    </row>
    <row r="32" spans="2:10" ht="27" customHeight="1" x14ac:dyDescent="0.2">
      <c r="B32" s="36"/>
      <c r="C32" s="47" t="str">
        <f>IF($J$10=TRUE,"","Obrigatório")</f>
        <v>Obrigatório</v>
      </c>
      <c r="D32" s="201"/>
      <c r="E32" s="201"/>
      <c r="F32" s="217" t="str">
        <f>IF($J$10=TRUE,"","Certificado de Aprovação - CA - Emitido pelo Ministerio do Trabalho")</f>
        <v>Certificado de Aprovação - CA - Emitido pelo Ministerio do Trabalho</v>
      </c>
      <c r="G32" s="218"/>
      <c r="H32" s="219"/>
      <c r="I32" s="24"/>
    </row>
    <row r="33" spans="2:11" ht="27" customHeight="1" x14ac:dyDescent="0.2">
      <c r="B33" s="36"/>
      <c r="C33" s="46" t="str">
        <f>IF($J$10=TRUE,"Differencial","Diferencial")</f>
        <v>Diferencial</v>
      </c>
      <c r="D33" s="201"/>
      <c r="E33" s="201"/>
      <c r="F33" s="217" t="str">
        <f>IF($J$10=TRUE,"Accredited laboratory reports - In case of grammage/adhesiveness/sanitisers","Laudos de laboratorio Credenciados do MC e/o INMETRO - Em caso de gramatura/adesividade/saneantes")</f>
        <v>Laudos de laboratorio Credenciados do MC e/o INMETRO - Em caso de gramatura/adesividade/saneantes</v>
      </c>
      <c r="G33" s="218"/>
      <c r="H33" s="219"/>
      <c r="I33" s="24"/>
      <c r="K33" s="10"/>
    </row>
    <row r="34" spans="2:11" x14ac:dyDescent="0.2">
      <c r="B34" s="37"/>
      <c r="C34" s="32"/>
      <c r="D34" s="32"/>
      <c r="E34" s="32"/>
      <c r="F34" s="32"/>
      <c r="G34" s="32"/>
      <c r="H34" s="32"/>
      <c r="I34" s="24"/>
      <c r="J34" s="32"/>
    </row>
    <row r="35" spans="2:11" x14ac:dyDescent="0.2">
      <c r="B35" s="39"/>
      <c r="C35" s="30"/>
      <c r="D35" s="30"/>
      <c r="E35" s="30"/>
      <c r="F35" s="30"/>
      <c r="G35" s="30"/>
      <c r="H35" s="30"/>
      <c r="I35" s="31"/>
    </row>
    <row r="37" spans="2:11" x14ac:dyDescent="0.2">
      <c r="D37" s="154"/>
      <c r="E37" s="154"/>
      <c r="F37" s="154"/>
      <c r="G37" s="154"/>
      <c r="H37" s="154"/>
      <c r="I37" s="154"/>
      <c r="J37" s="139"/>
    </row>
    <row r="38" spans="2:11" x14ac:dyDescent="0.2">
      <c r="B38" s="41"/>
      <c r="C38" s="21"/>
      <c r="D38" s="42"/>
      <c r="E38" s="42"/>
      <c r="F38" s="42"/>
      <c r="G38" s="42"/>
      <c r="H38" s="42"/>
      <c r="I38" s="43"/>
      <c r="J38" s="40"/>
    </row>
    <row r="39" spans="2:11" x14ac:dyDescent="0.2">
      <c r="B39" s="36"/>
      <c r="I39" s="24"/>
    </row>
    <row r="40" spans="2:11" x14ac:dyDescent="0.2">
      <c r="B40" s="183" t="str">
        <f>IF($J$10=TRUE,"Read each statement and mark with an X in the column according to the company's service in the item.","Por favor, leia cada enunciado e assinale com um X na coluna correspondente ao atendimento da empresa para o respectivo item.")</f>
        <v>Por favor, leia cada enunciado e assinale com um X na coluna correspondente ao atendimento da empresa para o respectivo item.</v>
      </c>
      <c r="C40" s="184"/>
      <c r="D40" s="184"/>
      <c r="E40" s="184"/>
      <c r="F40" s="184"/>
      <c r="G40" s="184"/>
      <c r="H40" s="184"/>
      <c r="I40" s="185"/>
    </row>
    <row r="41" spans="2:11" ht="15.75" x14ac:dyDescent="0.2">
      <c r="B41" s="167" t="str">
        <f>IF($J$10=TRUE,"QUALITY AND FOOD SAFETY MANAGEMENT SYSTEM","SISTEMA DE GESTÃO DA QUALIDADE E SEGURANÇA DE ALIMENTOS")</f>
        <v>SISTEMA DE GESTÃO DA QUALIDADE E SEGURANÇA DE ALIMENTOS</v>
      </c>
      <c r="C41" s="168"/>
      <c r="D41" s="168"/>
      <c r="E41" s="168"/>
      <c r="F41" s="168"/>
      <c r="G41" s="168"/>
      <c r="H41" s="168"/>
      <c r="I41" s="169"/>
    </row>
    <row r="42" spans="2:11" ht="43.5" customHeight="1" x14ac:dyDescent="0.2">
      <c r="B42" s="170" t="str">
        <f>IF($J$10=TRUE,"Items (Answer the question with an X. If the answer is NA, please justify the answer at the Observation field.","Itens (Selecione a resposta com X) / Se NA, justificar em Observações")</f>
        <v>Itens (Selecione a resposta com X) / Se NA, justificar em Observações</v>
      </c>
      <c r="C42" s="171"/>
      <c r="D42" s="114" t="str">
        <f>IF($J$10=TRUE,"Yes","Sim")</f>
        <v>Sim</v>
      </c>
      <c r="E42" s="114" t="str">
        <f>IF($J$10=TRUE,"No","Não")</f>
        <v>Não</v>
      </c>
      <c r="F42" s="114" t="str">
        <f>IF($J$10=TRUE,"In progress","Em andamento")</f>
        <v>Em andamento</v>
      </c>
      <c r="G42" s="113" t="str">
        <f>IF($J$10=TRUE,"NA (not applicable)","NA")</f>
        <v>NA</v>
      </c>
      <c r="H42" s="172" t="str">
        <f>IF($J$10=TRUE,"Observation","Observações")</f>
        <v>Observações</v>
      </c>
      <c r="I42" s="173"/>
    </row>
    <row r="43" spans="2:11" ht="51" x14ac:dyDescent="0.2">
      <c r="B43" s="60">
        <v>1</v>
      </c>
      <c r="C43" s="45" t="str">
        <f>IF($J$10=TRUE,"Does the company establish procedures for preparing, issuing, circulating and controlling documentation?","A empresa estabelece procedimentos para elaboração, emissão, circulação e controle da documentação?")</f>
        <v>A empresa estabelece procedimentos para elaboração, emissão, circulação e controle da documentação?</v>
      </c>
      <c r="D43" s="127"/>
      <c r="E43" s="130"/>
      <c r="F43" s="127"/>
      <c r="G43" s="127"/>
      <c r="H43" s="166"/>
      <c r="I43" s="166"/>
    </row>
    <row r="44" spans="2:11" ht="25.5" x14ac:dyDescent="0.2">
      <c r="B44" s="60">
        <v>2</v>
      </c>
      <c r="C44" s="45" t="str">
        <f>IF($J$10=TRUE,"Is there a supplier management procedure?","Há procedimento de gestão de fornecedores?")</f>
        <v>Há procedimento de gestão de fornecedores?</v>
      </c>
      <c r="D44" s="127"/>
      <c r="E44" s="130"/>
      <c r="F44" s="127"/>
      <c r="G44" s="127"/>
      <c r="H44" s="166"/>
      <c r="I44" s="166"/>
    </row>
    <row r="45" spans="2:11" ht="36.75" customHeight="1" x14ac:dyDescent="0.2">
      <c r="B45" s="60">
        <v>3</v>
      </c>
      <c r="C45" s="45" t="str">
        <f>IF($J$10=TRUE,"Do you have a product traceability and recall program? Are simulations carried out?","Possui programa de rastreabilidade e recolhimento de produtos? São realizado simulados?")</f>
        <v>Possui programa de rastreabilidade e recolhimento de produtos? São realizado simulados?</v>
      </c>
      <c r="D45" s="127"/>
      <c r="E45" s="130"/>
      <c r="F45" s="127"/>
      <c r="G45" s="127"/>
      <c r="H45" s="166"/>
      <c r="I45" s="166"/>
    </row>
    <row r="46" spans="2:11" ht="25.5" x14ac:dyDescent="0.2">
      <c r="B46" s="60">
        <v>4</v>
      </c>
      <c r="C46" s="45" t="str">
        <f>IF($J$10=TRUE,"Does the company have a quality policy?","A empresa possui política de qualidade?")</f>
        <v>A empresa possui política de qualidade?</v>
      </c>
      <c r="D46" s="129"/>
      <c r="E46" s="129"/>
      <c r="F46" s="129"/>
      <c r="G46" s="129"/>
      <c r="H46" s="166"/>
      <c r="I46" s="166"/>
    </row>
    <row r="47" spans="2:11" x14ac:dyDescent="0.2">
      <c r="B47" s="229"/>
      <c r="C47" s="230"/>
      <c r="D47" s="230"/>
      <c r="E47" s="230"/>
      <c r="F47" s="230"/>
      <c r="G47" s="230"/>
      <c r="H47" s="230"/>
      <c r="I47" s="231"/>
    </row>
    <row r="48" spans="2:11" ht="15.75" x14ac:dyDescent="0.2">
      <c r="B48" s="167" t="str">
        <f>IF($J$10=TRUE,"MAINTENANCE AND CALIBRATION","MANUTENÇÃO E CALIBRAÇÃO")</f>
        <v>MANUTENÇÃO E CALIBRAÇÃO</v>
      </c>
      <c r="C48" s="168"/>
      <c r="D48" s="168"/>
      <c r="E48" s="168"/>
      <c r="F48" s="168"/>
      <c r="G48" s="168"/>
      <c r="H48" s="168"/>
      <c r="I48" s="169"/>
    </row>
    <row r="49" spans="2:11" ht="44.25" customHeight="1" x14ac:dyDescent="0.2">
      <c r="B49" s="170" t="str">
        <f>IF($J$10=TRUE,"Items (Answer the question with an X. If the answer is NA, please justify the answer at the Observation field.","Itens (Selecione a resposta com X) / Se NA, justificar em Observações")</f>
        <v>Itens (Selecione a resposta com X) / Se NA, justificar em Observações</v>
      </c>
      <c r="C49" s="171"/>
      <c r="D49" s="114" t="str">
        <f>IF($J$10=TRUE,"Yes","Sim")</f>
        <v>Sim</v>
      </c>
      <c r="E49" s="114" t="str">
        <f>IF($J$10=TRUE,"No","Não")</f>
        <v>Não</v>
      </c>
      <c r="F49" s="114" t="str">
        <f>IF($J$10=TRUE,"In progress","Em andamento")</f>
        <v>Em andamento</v>
      </c>
      <c r="G49" s="113" t="str">
        <f>IF($J$10=TRUE,"NA (not applicable)","NA")</f>
        <v>NA</v>
      </c>
      <c r="H49" s="172" t="str">
        <f>IF($J$10=TRUE,"Observation","Observações")</f>
        <v>Observações</v>
      </c>
      <c r="I49" s="173"/>
    </row>
    <row r="50" spans="2:11" ht="44.25" customHeight="1" x14ac:dyDescent="0.2">
      <c r="B50" s="60">
        <v>4</v>
      </c>
      <c r="C50" s="45" t="str">
        <f>IF($J$10=TRUE,"Is there a documented preventative maintenance program for equipment?","Existe um programa documentado para manutenção preventiva dos equipamentos?")</f>
        <v>Existe um programa documentado para manutenção preventiva dos equipamentos?</v>
      </c>
      <c r="D50" s="127"/>
      <c r="E50" s="130"/>
      <c r="F50" s="127"/>
      <c r="G50" s="127"/>
      <c r="H50" s="166"/>
      <c r="I50" s="166"/>
    </row>
    <row r="51" spans="2:11" ht="37.5" customHeight="1" x14ac:dyDescent="0.2">
      <c r="B51" s="60">
        <v>5</v>
      </c>
      <c r="C51" s="45" t="str">
        <f>IF($J$10=TRUE,"Do you perform equipment and instrument calibration?","Realiza calibração de equipamento e instrumentos?")</f>
        <v>Realiza calibração de equipamento e instrumentos?</v>
      </c>
      <c r="D51" s="127"/>
      <c r="E51" s="130"/>
      <c r="F51" s="127"/>
      <c r="G51" s="127"/>
      <c r="H51" s="166"/>
      <c r="I51" s="166"/>
    </row>
    <row r="52" spans="2:11" x14ac:dyDescent="0.2">
      <c r="B52" s="93"/>
      <c r="C52" s="94"/>
      <c r="D52" s="95"/>
      <c r="E52" s="98"/>
      <c r="F52" s="95"/>
      <c r="G52" s="95"/>
      <c r="H52" s="92"/>
      <c r="I52" s="91"/>
    </row>
    <row r="53" spans="2:11" ht="15.75" x14ac:dyDescent="0.2">
      <c r="B53" s="167" t="str">
        <f>IF($J$10=TRUE,"CUSTOMER COMMUNICATION","COMUNICAÇÃO COM O CLIENTE")</f>
        <v>COMUNICAÇÃO COM O CLIENTE</v>
      </c>
      <c r="C53" s="168"/>
      <c r="D53" s="168"/>
      <c r="E53" s="168"/>
      <c r="F53" s="168"/>
      <c r="G53" s="168"/>
      <c r="H53" s="168"/>
      <c r="I53" s="169"/>
    </row>
    <row r="54" spans="2:11" ht="45" customHeight="1" x14ac:dyDescent="0.2">
      <c r="B54" s="170" t="str">
        <f>IF($J$10=TRUE,"Items (Answer the question with an X. If the answer is NA, please justify the answer at the Observation field.","Itens (Selecione a resposta com X) / Se NA, justificar em Observações")</f>
        <v>Itens (Selecione a resposta com X) / Se NA, justificar em Observações</v>
      </c>
      <c r="C54" s="171"/>
      <c r="D54" s="114" t="str">
        <f>IF($J$10=TRUE,"Yes","Sim")</f>
        <v>Sim</v>
      </c>
      <c r="E54" s="114" t="str">
        <f>IF($J$10=TRUE,"No","Não")</f>
        <v>Não</v>
      </c>
      <c r="F54" s="114" t="str">
        <f>IF($J$10=TRUE,"In progress","Em andamento")</f>
        <v>Em andamento</v>
      </c>
      <c r="G54" s="113" t="str">
        <f>IF($J$10=TRUE,"NA (not applicable)","NA")</f>
        <v>NA</v>
      </c>
      <c r="H54" s="172" t="str">
        <f>IF($J$10=TRUE,"Observation","Observações")</f>
        <v>Observações</v>
      </c>
      <c r="I54" s="173"/>
    </row>
    <row r="55" spans="2:11" ht="51" x14ac:dyDescent="0.2">
      <c r="B55" s="60">
        <v>9</v>
      </c>
      <c r="C55" s="45" t="str">
        <f>IF($J$10=TRUE,"Does the company ensure that customer requirements for products are being followed? How?","A empresa assegura que os requisitos dos clientes para produtos estão sendo seguidos? Como?")</f>
        <v>A empresa assegura que os requisitos dos clientes para produtos estão sendo seguidos? Como?</v>
      </c>
      <c r="D55" s="127"/>
      <c r="E55" s="127"/>
      <c r="F55" s="127"/>
      <c r="G55" s="127"/>
      <c r="H55" s="166"/>
      <c r="I55" s="166"/>
    </row>
    <row r="56" spans="2:11" ht="38.25" x14ac:dyDescent="0.2">
      <c r="B56" s="60">
        <v>10</v>
      </c>
      <c r="C56" s="45" t="str">
        <f>IF($J$10=TRUE,"Are customers notified when there are changes to relevant information? How?","Quando há mudanças nos pertinentes os clientes são comunicados? Como?")</f>
        <v>Quando há mudanças nos pertinentes os clientes são comunicados? Como?</v>
      </c>
      <c r="D56" s="127"/>
      <c r="E56" s="127"/>
      <c r="F56" s="127"/>
      <c r="G56" s="127"/>
      <c r="H56" s="166"/>
      <c r="I56" s="166"/>
    </row>
    <row r="57" spans="2:11" ht="51" x14ac:dyDescent="0.2">
      <c r="B57" s="60">
        <v>11</v>
      </c>
      <c r="C57" s="45" t="str">
        <f>IF($J$10=TRUE,"Is there a customer complaint handling system? Are complaints recorded and handled?","Existe um sistema de tratamento de reclamação de clientes? As reclamações são registradas e tratadas?")</f>
        <v>Existe um sistema de tratamento de reclamação de clientes? As reclamações são registradas e tratadas?</v>
      </c>
      <c r="D57" s="127"/>
      <c r="E57" s="127"/>
      <c r="F57" s="127"/>
      <c r="G57" s="127"/>
      <c r="H57" s="166"/>
      <c r="I57" s="166"/>
    </row>
    <row r="58" spans="2:11" x14ac:dyDescent="0.2">
      <c r="B58" s="93"/>
      <c r="C58" s="94"/>
      <c r="D58" s="95"/>
      <c r="E58" s="95"/>
      <c r="F58" s="95"/>
      <c r="G58" s="95"/>
      <c r="H58" s="92"/>
      <c r="I58" s="91"/>
    </row>
    <row r="59" spans="2:11" ht="15.75" x14ac:dyDescent="0.2">
      <c r="B59" s="167" t="str">
        <f>IF($J$10=TRUE,"ENVIRONMENTAL MANAGEMENT SYSTEM","SISTEMA DE GESTÃO AMBIENTAL")</f>
        <v>SISTEMA DE GESTÃO AMBIENTAL</v>
      </c>
      <c r="C59" s="168"/>
      <c r="D59" s="168"/>
      <c r="E59" s="168"/>
      <c r="F59" s="168"/>
      <c r="G59" s="168"/>
      <c r="H59" s="168"/>
      <c r="I59" s="169"/>
      <c r="K59" s="10"/>
    </row>
    <row r="60" spans="2:11" ht="39" customHeight="1" x14ac:dyDescent="0.2">
      <c r="B60" s="170" t="str">
        <f>IF($J$10=TRUE,"Items (Answer the question with an X. If the answer is NA, please justify the answer at the Observation field.","Itens (Selecione a resposta com X) / Se NA, justificar em Observações")</f>
        <v>Itens (Selecione a resposta com X) / Se NA, justificar em Observações</v>
      </c>
      <c r="C60" s="171"/>
      <c r="D60" s="114" t="str">
        <f>IF($J$10=TRUE,"Yes","Sim")</f>
        <v>Sim</v>
      </c>
      <c r="E60" s="114" t="str">
        <f>IF($J$10=TRUE,"No","Não")</f>
        <v>Não</v>
      </c>
      <c r="F60" s="114" t="str">
        <f>IF($J$10=TRUE,"In progress","Em andamento")</f>
        <v>Em andamento</v>
      </c>
      <c r="G60" s="113" t="str">
        <f>IF($J$10=TRUE,"NA (not applicable)","NA")</f>
        <v>NA</v>
      </c>
      <c r="H60" s="172" t="str">
        <f>IF($J$10=TRUE,"Observation","Observações")</f>
        <v>Observações</v>
      </c>
      <c r="I60" s="173"/>
      <c r="K60" s="10"/>
    </row>
    <row r="61" spans="2:11" ht="25.5" x14ac:dyDescent="0.2">
      <c r="B61" s="60">
        <f>B57+1</f>
        <v>12</v>
      </c>
      <c r="C61" s="45" t="str">
        <f>IF($J$10=TRUE,"Does the company have liquid and solid waste treatments?","A empresa possuí tratamentos de resíduos líquidos e sólidos?")</f>
        <v>A empresa possuí tratamentos de resíduos líquidos e sólidos?</v>
      </c>
      <c r="D61" s="127"/>
      <c r="E61" s="127"/>
      <c r="F61" s="127"/>
      <c r="G61" s="127"/>
      <c r="H61" s="166"/>
      <c r="I61" s="166"/>
      <c r="K61" s="10"/>
    </row>
    <row r="62" spans="2:11" ht="57" customHeight="1" x14ac:dyDescent="0.2">
      <c r="B62" s="60">
        <f>B61+1</f>
        <v>13</v>
      </c>
      <c r="C62" s="45" t="str">
        <f>IF($J$10=TRUE,"Are the manufactured products biodegradable, resulting in no changes to the effluent treatment system?","Os produtos fabricados são biodegradáveis não conferindo alteração em sistema de tratamento de efluentes?")</f>
        <v>Os produtos fabricados são biodegradáveis não conferindo alteração em sistema de tratamento de efluentes?</v>
      </c>
      <c r="D62" s="127"/>
      <c r="E62" s="127"/>
      <c r="F62" s="127"/>
      <c r="G62" s="127"/>
      <c r="H62" s="166"/>
      <c r="I62" s="166"/>
      <c r="K62" s="10"/>
    </row>
    <row r="63" spans="2:11" ht="25.5" x14ac:dyDescent="0.2">
      <c r="B63" s="60">
        <f>B62+1</f>
        <v>14</v>
      </c>
      <c r="C63" s="45" t="str">
        <f>IF($J$10=TRUE,"Does the company have an environmental responsibility policy?","A empresa possui política de responsabilidade ambiental?")</f>
        <v>A empresa possui política de responsabilidade ambiental?</v>
      </c>
      <c r="D63" s="127"/>
      <c r="E63" s="127"/>
      <c r="F63" s="127"/>
      <c r="G63" s="127"/>
      <c r="H63" s="166"/>
      <c r="I63" s="166"/>
      <c r="K63" s="10"/>
    </row>
    <row r="64" spans="2:11" ht="33.75" customHeight="1" x14ac:dyDescent="0.2">
      <c r="B64" s="60">
        <f>B63+1</f>
        <v>15</v>
      </c>
      <c r="C64" s="45" t="str">
        <f>IF($J$10=TRUE,"Does the company separate organic waste from recyclable waste?","A empresa separar o lixo orgânico do lixo reciclável?")</f>
        <v>A empresa separar o lixo orgânico do lixo reciclável?</v>
      </c>
      <c r="D64" s="127"/>
      <c r="E64" s="127"/>
      <c r="F64" s="127"/>
      <c r="G64" s="127"/>
      <c r="H64" s="166"/>
      <c r="I64" s="166"/>
      <c r="K64" s="10"/>
    </row>
    <row r="65" spans="2:9" x14ac:dyDescent="0.2">
      <c r="B65" s="93"/>
      <c r="C65" s="95"/>
      <c r="D65" s="95"/>
      <c r="E65" s="95"/>
      <c r="F65" s="95"/>
      <c r="G65" s="95"/>
      <c r="H65" s="95"/>
      <c r="I65" s="97"/>
    </row>
    <row r="66" spans="2:9" ht="15.75" x14ac:dyDescent="0.2">
      <c r="B66" s="167" t="str">
        <f>IF($J$10=TRUE,"EMPLOYEES","COLABORADORES")</f>
        <v>COLABORADORES</v>
      </c>
      <c r="C66" s="168"/>
      <c r="D66" s="168"/>
      <c r="E66" s="168"/>
      <c r="F66" s="168"/>
      <c r="G66" s="168"/>
      <c r="H66" s="168"/>
      <c r="I66" s="169"/>
    </row>
    <row r="67" spans="2:9" ht="38.25" customHeight="1" x14ac:dyDescent="0.2">
      <c r="B67" s="170" t="str">
        <f>IF($J$10=TRUE,"Items (Answer the question with an X. If the answer is NA, please justify the answer at the Observation field.","Itens (Selecione a resposta com X) / Se NA, justificar em Observações")</f>
        <v>Itens (Selecione a resposta com X) / Se NA, justificar em Observações</v>
      </c>
      <c r="C67" s="171"/>
      <c r="D67" s="114" t="str">
        <f>IF($J$10=TRUE,"Yes","Sim")</f>
        <v>Sim</v>
      </c>
      <c r="E67" s="114" t="str">
        <f>IF($J$10=TRUE,"No","Não")</f>
        <v>Não</v>
      </c>
      <c r="F67" s="114" t="str">
        <f>IF($J$10=TRUE,"In progress","Em andamento")</f>
        <v>Em andamento</v>
      </c>
      <c r="G67" s="113" t="str">
        <f>IF($J$10=TRUE,"NA (not applicable)","NA")</f>
        <v>NA</v>
      </c>
      <c r="H67" s="172" t="str">
        <f>IF($J$10=TRUE,"Observation","Observações")</f>
        <v>Observações</v>
      </c>
      <c r="I67" s="173"/>
    </row>
    <row r="68" spans="2:9" ht="25.5" x14ac:dyDescent="0.2">
      <c r="B68" s="60">
        <f>B64+1</f>
        <v>16</v>
      </c>
      <c r="C68" s="45" t="str">
        <f>IF($J$10=TRUE,"Do employees undergo admission and periodic exams?","Os funcionários fazem exames admissionais e periódicos?")</f>
        <v>Os funcionários fazem exames admissionais e periódicos?</v>
      </c>
      <c r="D68" s="127"/>
      <c r="E68" s="127"/>
      <c r="F68" s="127"/>
      <c r="G68" s="127"/>
      <c r="H68" s="166"/>
      <c r="I68" s="166"/>
    </row>
    <row r="69" spans="2:9" ht="38.25" x14ac:dyDescent="0.2">
      <c r="B69" s="60">
        <f>B68+1</f>
        <v>17</v>
      </c>
      <c r="C69" s="45" t="str">
        <f>IF($J$10=TRUE,"Do all employees receive training on their activities?","Todos os funcionários recebem treinamento sobre as suas atividades?")</f>
        <v>Todos os funcionários recebem treinamento sobre as suas atividades?</v>
      </c>
      <c r="D69" s="127"/>
      <c r="E69" s="127"/>
      <c r="F69" s="127"/>
      <c r="G69" s="127"/>
      <c r="H69" s="166"/>
      <c r="I69" s="166"/>
    </row>
    <row r="70" spans="2:9" ht="30" customHeight="1" x14ac:dyDescent="0.2">
      <c r="B70" s="60">
        <f>B69+1</f>
        <v>18</v>
      </c>
      <c r="C70" s="45" t="str">
        <f>IF($J$10=TRUE,"Does the company have a socio-environmental responsibility policy?","A empresa possui política de responsabilidade socioambiental?")</f>
        <v>A empresa possui política de responsabilidade socioambiental?</v>
      </c>
      <c r="D70" s="129"/>
      <c r="E70" s="129"/>
      <c r="F70" s="129"/>
      <c r="G70" s="129"/>
      <c r="H70" s="166"/>
      <c r="I70" s="166"/>
    </row>
    <row r="72" spans="2:9" ht="26.25" customHeight="1" x14ac:dyDescent="0.2">
      <c r="B72" s="177" t="str">
        <f>IF($J$10=TRUE,"I declare that all information is true and that any changes in the manufacturing process, specification, or any other changes that impact the quality and/or traceability of the product supplied will be duly communicated to ICC Brazil.","Declaro que todas as informações são verídicas e que qualquer alteração no processo de fabricação, especificação, ou quaisquer outras mudanças que impactem na qualidade e/ou rastreabilidade do produto fornecido serão devidamente comunicados a ICC Brazil.")</f>
        <v>Declaro que todas as informações são verídicas e que qualquer alteração no processo de fabricação, especificação, ou quaisquer outras mudanças que impactem na qualidade e/ou rastreabilidade do produto fornecido serão devidamente comunicados a ICC Brazil.</v>
      </c>
      <c r="C72" s="177"/>
      <c r="D72" s="177"/>
      <c r="E72" s="177"/>
      <c r="F72" s="177"/>
      <c r="G72" s="177"/>
      <c r="H72" s="177"/>
      <c r="I72" s="177"/>
    </row>
    <row r="73" spans="2:9" x14ac:dyDescent="0.2">
      <c r="C73" s="48"/>
    </row>
    <row r="74" spans="2:9" ht="25.5" x14ac:dyDescent="0.2">
      <c r="C74" s="65" t="str">
        <f>IF($J$10=TRUE,"Responsible for completing:","Responsável pelo preenchimento:")</f>
        <v>Responsável pelo preenchimento:</v>
      </c>
      <c r="D74" s="166"/>
      <c r="E74" s="166"/>
      <c r="F74" s="166"/>
      <c r="G74" s="166"/>
      <c r="H74" s="166"/>
    </row>
    <row r="75" spans="2:9" x14ac:dyDescent="0.2">
      <c r="C75" s="65" t="str">
        <f>IF($J$10=TRUE,"Job Title:","Cargo:")</f>
        <v>Cargo:</v>
      </c>
      <c r="D75" s="166"/>
      <c r="E75" s="166"/>
      <c r="F75" s="166"/>
      <c r="G75" s="166"/>
      <c r="H75" s="166"/>
    </row>
    <row r="76" spans="2:9" x14ac:dyDescent="0.2">
      <c r="C76" s="65" t="str">
        <f>IF($J$10=TRUE,"Date:","Data:")</f>
        <v>Data:</v>
      </c>
      <c r="D76" s="166"/>
      <c r="E76" s="166"/>
      <c r="F76" s="166"/>
      <c r="G76" s="166"/>
      <c r="H76" s="166"/>
    </row>
    <row r="77" spans="2:9" x14ac:dyDescent="0.2">
      <c r="C77" s="48"/>
    </row>
    <row r="78" spans="2:9" x14ac:dyDescent="0.2">
      <c r="C78" s="48"/>
    </row>
    <row r="79" spans="2:9" x14ac:dyDescent="0.2">
      <c r="C79" s="48"/>
    </row>
    <row r="80" spans="2:9" x14ac:dyDescent="0.2">
      <c r="C80" s="181"/>
      <c r="D80" s="181"/>
      <c r="E80" s="181"/>
      <c r="F80" s="181"/>
      <c r="G80" s="181"/>
      <c r="H80" s="181"/>
    </row>
    <row r="81" spans="3:8" x14ac:dyDescent="0.2">
      <c r="C81" s="175" t="str">
        <f>IF($J$10=TRUE,"Signature","Assinatura")</f>
        <v>Assinatura</v>
      </c>
      <c r="D81" s="176"/>
      <c r="E81" s="176"/>
      <c r="F81" s="176"/>
      <c r="G81" s="176"/>
      <c r="H81" s="176"/>
    </row>
  </sheetData>
  <sheetProtection algorithmName="SHA-512" hashValue="EJO1tSVtvxHENbC9Ja4lpZAzT2NosE0OEOQHEWtzMkhmy34/O7tJWWinMJX1VsKacfqwroMDlDFNQ5VNM7EiBg==" saltValue="TPNEB+JJAlEjhIjqSTAnzQ==" spinCount="100000" sheet="1"/>
  <mergeCells count="81">
    <mergeCell ref="F27:H27"/>
    <mergeCell ref="F28:H28"/>
    <mergeCell ref="F29:H29"/>
    <mergeCell ref="F30:H30"/>
    <mergeCell ref="D27:E27"/>
    <mergeCell ref="H61:I61"/>
    <mergeCell ref="H62:I62"/>
    <mergeCell ref="H63:I63"/>
    <mergeCell ref="H68:I68"/>
    <mergeCell ref="D29:E29"/>
    <mergeCell ref="D30:E30"/>
    <mergeCell ref="D31:E31"/>
    <mergeCell ref="D32:E32"/>
    <mergeCell ref="D33:E33"/>
    <mergeCell ref="F33:H33"/>
    <mergeCell ref="H70:I70"/>
    <mergeCell ref="H46:I46"/>
    <mergeCell ref="B48:I48"/>
    <mergeCell ref="B49:C49"/>
    <mergeCell ref="H49:I49"/>
    <mergeCell ref="B66:I66"/>
    <mergeCell ref="B67:C67"/>
    <mergeCell ref="H67:I67"/>
    <mergeCell ref="B47:I47"/>
    <mergeCell ref="H50:I50"/>
    <mergeCell ref="H55:I55"/>
    <mergeCell ref="H64:I64"/>
    <mergeCell ref="B54:C54"/>
    <mergeCell ref="H69:I69"/>
    <mergeCell ref="B60:C60"/>
    <mergeCell ref="H60:I60"/>
    <mergeCell ref="C20:H20"/>
    <mergeCell ref="F23:H23"/>
    <mergeCell ref="F24:H24"/>
    <mergeCell ref="F25:H25"/>
    <mergeCell ref="F26:H26"/>
    <mergeCell ref="D26:E26"/>
    <mergeCell ref="D25:E25"/>
    <mergeCell ref="D28:E28"/>
    <mergeCell ref="D21:E21"/>
    <mergeCell ref="D22:E22"/>
    <mergeCell ref="D23:E23"/>
    <mergeCell ref="D24:E24"/>
    <mergeCell ref="H56:I56"/>
    <mergeCell ref="B41:I41"/>
    <mergeCell ref="B59:I59"/>
    <mergeCell ref="F31:H31"/>
    <mergeCell ref="F32:H32"/>
    <mergeCell ref="H42:I42"/>
    <mergeCell ref="H57:I57"/>
    <mergeCell ref="B53:I53"/>
    <mergeCell ref="H54:I54"/>
    <mergeCell ref="H43:I43"/>
    <mergeCell ref="H44:I44"/>
    <mergeCell ref="C11:H11"/>
    <mergeCell ref="B5:H5"/>
    <mergeCell ref="E6:F6"/>
    <mergeCell ref="B14:C14"/>
    <mergeCell ref="D15:H15"/>
    <mergeCell ref="B15:C15"/>
    <mergeCell ref="A1:B4"/>
    <mergeCell ref="C1:I4"/>
    <mergeCell ref="J1:J2"/>
    <mergeCell ref="J3:J4"/>
    <mergeCell ref="C10:H10"/>
    <mergeCell ref="C80:H80"/>
    <mergeCell ref="C81:H81"/>
    <mergeCell ref="B72:I72"/>
    <mergeCell ref="C12:H12"/>
    <mergeCell ref="C13:H13"/>
    <mergeCell ref="D74:H74"/>
    <mergeCell ref="D75:H75"/>
    <mergeCell ref="D76:H76"/>
    <mergeCell ref="D14:H14"/>
    <mergeCell ref="H45:I45"/>
    <mergeCell ref="D37:J37"/>
    <mergeCell ref="H51:I51"/>
    <mergeCell ref="B42:C42"/>
    <mergeCell ref="B40:I40"/>
    <mergeCell ref="F21:H21"/>
    <mergeCell ref="F22:H22"/>
  </mergeCells>
  <dataValidations count="1">
    <dataValidation type="list" allowBlank="1" showInputMessage="1" showErrorMessage="1" sqref="D22:E33">
      <formula1>"SIM/YES,NÃO/NO"</formula1>
    </dataValidation>
  </dataValidations>
  <pageMargins left="0.511811024" right="0.511811024" top="0.78740157499999996" bottom="0.78740157499999996" header="0.31496062000000002" footer="0.31496062000000002"/>
  <pageSetup paperSize="9" orientation="portrait" horizontalDpi="0"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39587" r:id="rId4" name="Check Box 1699">
              <controlPr locked="0" defaultSize="0" autoFill="0" autoLine="0" autoPict="0">
                <anchor moveWithCells="1">
                  <from>
                    <xdr:col>3</xdr:col>
                    <xdr:colOff>171450</xdr:colOff>
                    <xdr:row>4</xdr:row>
                    <xdr:rowOff>371475</xdr:rowOff>
                  </from>
                  <to>
                    <xdr:col>5</xdr:col>
                    <xdr:colOff>361950</xdr:colOff>
                    <xdr:row>6</xdr:row>
                    <xdr:rowOff>123825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10"/>
  <dimension ref="A1:J64"/>
  <sheetViews>
    <sheetView showGridLines="0" workbookViewId="0">
      <selection activeCell="J5" sqref="J5"/>
    </sheetView>
  </sheetViews>
  <sheetFormatPr defaultRowHeight="12.75" x14ac:dyDescent="0.2"/>
  <cols>
    <col min="1" max="1" width="4.5703125" customWidth="1"/>
    <col min="2" max="2" width="18.7109375" customWidth="1"/>
    <col min="3" max="3" width="40.42578125" style="82" customWidth="1"/>
    <col min="4" max="5" width="7.7109375" customWidth="1"/>
    <col min="6" max="6" width="20.7109375" customWidth="1"/>
    <col min="7" max="7" width="7.7109375" customWidth="1"/>
    <col min="8" max="8" width="20.7109375" customWidth="1"/>
    <col min="9" max="9" width="18.7109375" customWidth="1"/>
    <col min="10" max="10" width="15.28515625" customWidth="1"/>
  </cols>
  <sheetData>
    <row r="1" spans="1:10" ht="12.75" customHeight="1" x14ac:dyDescent="0.2">
      <c r="A1" s="195"/>
      <c r="B1" s="196"/>
      <c r="C1" s="193" t="s">
        <v>18</v>
      </c>
      <c r="D1" s="159"/>
      <c r="E1" s="159"/>
      <c r="F1" s="159"/>
      <c r="G1" s="159"/>
      <c r="H1" s="159"/>
      <c r="I1" s="160"/>
      <c r="J1" s="147" t="s">
        <v>42</v>
      </c>
    </row>
    <row r="2" spans="1:10" ht="12.75" customHeight="1" x14ac:dyDescent="0.2">
      <c r="A2" s="197"/>
      <c r="B2" s="198"/>
      <c r="C2" s="193"/>
      <c r="D2" s="159"/>
      <c r="E2" s="159"/>
      <c r="F2" s="159"/>
      <c r="G2" s="159"/>
      <c r="H2" s="159"/>
      <c r="I2" s="160"/>
      <c r="J2" s="148"/>
    </row>
    <row r="3" spans="1:10" ht="12.75" customHeight="1" x14ac:dyDescent="0.2">
      <c r="A3" s="197"/>
      <c r="B3" s="198"/>
      <c r="C3" s="193"/>
      <c r="D3" s="159"/>
      <c r="E3" s="159"/>
      <c r="F3" s="159"/>
      <c r="G3" s="159"/>
      <c r="H3" s="159"/>
      <c r="I3" s="160"/>
      <c r="J3" s="148" t="s">
        <v>80</v>
      </c>
    </row>
    <row r="4" spans="1:10" ht="13.5" customHeight="1" thickBot="1" x14ac:dyDescent="0.25">
      <c r="A4" s="199"/>
      <c r="B4" s="200"/>
      <c r="C4" s="194"/>
      <c r="D4" s="161"/>
      <c r="E4" s="161"/>
      <c r="F4" s="161"/>
      <c r="G4" s="161"/>
      <c r="H4" s="161"/>
      <c r="I4" s="162"/>
      <c r="J4" s="149"/>
    </row>
    <row r="5" spans="1:10" ht="30.75" customHeight="1" x14ac:dyDescent="0.2">
      <c r="B5" s="203" t="s">
        <v>43</v>
      </c>
      <c r="C5" s="203"/>
      <c r="D5" s="203"/>
      <c r="E5" s="203"/>
      <c r="F5" s="203"/>
      <c r="G5" s="203"/>
      <c r="H5" s="203"/>
    </row>
    <row r="6" spans="1:10" x14ac:dyDescent="0.2">
      <c r="B6" s="10"/>
      <c r="C6" s="18"/>
      <c r="D6" s="10"/>
      <c r="E6" s="214"/>
      <c r="F6" s="214"/>
    </row>
    <row r="7" spans="1:10" x14ac:dyDescent="0.2">
      <c r="B7" s="10"/>
      <c r="C7" s="77"/>
    </row>
    <row r="8" spans="1:10" ht="11.25" customHeight="1" x14ac:dyDescent="0.2">
      <c r="B8" s="19"/>
      <c r="C8" s="78"/>
      <c r="D8" s="21"/>
      <c r="E8" s="21"/>
      <c r="F8" s="21"/>
      <c r="G8" s="21"/>
      <c r="H8" s="21"/>
      <c r="I8" s="22"/>
    </row>
    <row r="9" spans="1:10" x14ac:dyDescent="0.2">
      <c r="B9" s="23"/>
      <c r="C9" s="77"/>
      <c r="I9" s="24"/>
    </row>
    <row r="10" spans="1:10" ht="18" customHeight="1" x14ac:dyDescent="0.25">
      <c r="B10" s="25" t="str">
        <f>IF($J$10=TRUE,"Corporate Name:","Razão Social:")</f>
        <v>Razão Social:</v>
      </c>
      <c r="C10" s="204"/>
      <c r="D10" s="204"/>
      <c r="E10" s="204"/>
      <c r="F10" s="204"/>
      <c r="G10" s="204"/>
      <c r="H10" s="204"/>
      <c r="I10" s="26"/>
      <c r="J10" s="128" t="b">
        <v>0</v>
      </c>
    </row>
    <row r="11" spans="1:10" ht="18" customHeight="1" x14ac:dyDescent="0.25">
      <c r="B11" s="25" t="str">
        <f>IF($J$10=TRUE,"Fantasy Name:","Nome Fantasia:")</f>
        <v>Nome Fantasia:</v>
      </c>
      <c r="C11" s="215"/>
      <c r="D11" s="215"/>
      <c r="E11" s="215"/>
      <c r="F11" s="215"/>
      <c r="G11" s="215"/>
      <c r="H11" s="215"/>
      <c r="I11" s="24"/>
    </row>
    <row r="12" spans="1:10" ht="18" customHeight="1" x14ac:dyDescent="0.25">
      <c r="B12" s="25" t="str">
        <f>IF($J$10=TRUE,"TIN:","CNPJ:")</f>
        <v>CNPJ:</v>
      </c>
      <c r="C12" s="215"/>
      <c r="D12" s="215"/>
      <c r="E12" s="215"/>
      <c r="F12" s="215"/>
      <c r="G12" s="215"/>
      <c r="H12" s="215"/>
      <c r="I12" s="26"/>
    </row>
    <row r="13" spans="1:10" ht="18" customHeight="1" x14ac:dyDescent="0.25">
      <c r="B13" s="25" t="str">
        <f>IF($J$10=TRUE,"Adress:","Endereço:")</f>
        <v>Endereço:</v>
      </c>
      <c r="C13" s="215"/>
      <c r="D13" s="215"/>
      <c r="E13" s="215"/>
      <c r="F13" s="215"/>
      <c r="G13" s="215"/>
      <c r="H13" s="215"/>
      <c r="I13" s="26"/>
    </row>
    <row r="14" spans="1:10" ht="18" customHeight="1" x14ac:dyDescent="0.2">
      <c r="B14" s="164" t="str">
        <f>IF($J$10=TRUE,"Product supplied to ICC Brazil:","Produto (s) fornecido (s) para a ICC:")</f>
        <v>Produto (s) fornecido (s) para a ICC:</v>
      </c>
      <c r="C14" s="165"/>
      <c r="D14" s="216"/>
      <c r="E14" s="216"/>
      <c r="F14" s="216"/>
      <c r="G14" s="216"/>
      <c r="H14" s="216"/>
      <c r="I14" s="24"/>
    </row>
    <row r="15" spans="1:10" ht="18" customHeight="1" x14ac:dyDescent="0.2">
      <c r="B15" s="164" t="str">
        <f>IF($J$10=TRUE,"CEO:","Responsável Técnico:")</f>
        <v>Responsável Técnico:</v>
      </c>
      <c r="C15" s="165"/>
      <c r="D15" s="216"/>
      <c r="E15" s="216"/>
      <c r="F15" s="216"/>
      <c r="G15" s="216"/>
      <c r="H15" s="216"/>
      <c r="I15" s="24"/>
    </row>
    <row r="16" spans="1:10" x14ac:dyDescent="0.2">
      <c r="B16" s="28"/>
      <c r="C16" s="79"/>
      <c r="D16" s="30"/>
      <c r="E16" s="30"/>
      <c r="F16" s="30"/>
      <c r="G16" s="30"/>
      <c r="H16" s="30"/>
      <c r="I16" s="31"/>
    </row>
    <row r="17" spans="2:10" x14ac:dyDescent="0.2">
      <c r="B17" s="16"/>
      <c r="C17" s="80"/>
    </row>
    <row r="18" spans="2:10" x14ac:dyDescent="0.2">
      <c r="B18" s="16"/>
      <c r="C18" s="80"/>
    </row>
    <row r="19" spans="2:10" x14ac:dyDescent="0.2">
      <c r="B19" s="33"/>
      <c r="C19" s="81"/>
      <c r="D19" s="21"/>
      <c r="E19" s="21"/>
      <c r="F19" s="21"/>
      <c r="G19" s="21"/>
      <c r="H19" s="21"/>
      <c r="I19" s="22"/>
    </row>
    <row r="20" spans="2:10" x14ac:dyDescent="0.2">
      <c r="B20" s="35"/>
      <c r="C20" s="205" t="str">
        <f>IF($J$10=TRUE,"Please select the submitted documents below","Selecione abaixo os documentos enviados.")</f>
        <v>Selecione abaixo os documentos enviados.</v>
      </c>
      <c r="D20" s="205"/>
      <c r="E20" s="205"/>
      <c r="F20" s="205"/>
      <c r="G20" s="205"/>
      <c r="H20" s="205"/>
      <c r="I20" s="24"/>
    </row>
    <row r="21" spans="2:10" ht="12.75" customHeight="1" x14ac:dyDescent="0.2">
      <c r="B21" s="35"/>
      <c r="C21" s="44" t="str">
        <f>IF($J$10=TRUE,"REQUIREMENT","REQUISITO")</f>
        <v>REQUISITO</v>
      </c>
      <c r="D21" s="206" t="str">
        <f>IF($J$10=TRUE,"SENT","ENVIADO")</f>
        <v>ENVIADO</v>
      </c>
      <c r="E21" s="206"/>
      <c r="F21" s="233" t="str">
        <f>IF($J$10=TRUE,"DOCUMENTS","DOCUMENTOS")</f>
        <v>DOCUMENTOS</v>
      </c>
      <c r="G21" s="234"/>
      <c r="H21" s="235"/>
      <c r="I21" s="24"/>
    </row>
    <row r="22" spans="2:10" ht="12.75" customHeight="1" x14ac:dyDescent="0.2">
      <c r="B22" s="35"/>
      <c r="C22" s="47" t="str">
        <f>IF($J$10=TRUE,"Mandatory","Obrigatório")</f>
        <v>Obrigatório</v>
      </c>
      <c r="D22" s="201"/>
      <c r="E22" s="201"/>
      <c r="F22" s="217" t="str">
        <f>IF($J$10=TRUE,"Government-issued operating license","Alvará da Prefeitura")</f>
        <v>Alvará da Prefeitura</v>
      </c>
      <c r="G22" s="218"/>
      <c r="H22" s="219"/>
      <c r="I22" s="24"/>
    </row>
    <row r="23" spans="2:10" ht="33.75" customHeight="1" x14ac:dyDescent="0.2">
      <c r="B23" s="36"/>
      <c r="C23" s="47" t="str">
        <f>IF($J$10=TRUE,"Mandatory","Obrigatório")</f>
        <v>Obrigatório</v>
      </c>
      <c r="D23" s="201"/>
      <c r="E23" s="201"/>
      <c r="F23" s="208" t="str">
        <f>IF($J$10=TRUE,"License issued by the environmental agency","Licença de Operação ou Dispensa do órgão ambiental estadual")</f>
        <v>Licença de Operação ou Dispensa do órgão ambiental estadual</v>
      </c>
      <c r="G23" s="209"/>
      <c r="H23" s="210"/>
      <c r="I23" s="24"/>
    </row>
    <row r="24" spans="2:10" ht="33.75" customHeight="1" x14ac:dyDescent="0.2">
      <c r="B24" s="36"/>
      <c r="C24" s="47" t="str">
        <f>IF($J$10=TRUE,"Mandatory","Obrigatório")</f>
        <v>Obrigatório</v>
      </c>
      <c r="D24" s="201"/>
      <c r="E24" s="201"/>
      <c r="F24" s="208" t="str">
        <f>IF($J$10=TRUE,"License issued by the health agency","Licença da Vigilância Sanitária")</f>
        <v>Licença da Vigilância Sanitária</v>
      </c>
      <c r="G24" s="209"/>
      <c r="H24" s="210"/>
      <c r="I24" s="24"/>
    </row>
    <row r="25" spans="2:10" ht="33.75" customHeight="1" x14ac:dyDescent="0.2">
      <c r="B25" s="36"/>
      <c r="C25" s="47" t="str">
        <f>IF($J$10=TRUE,"Mandatory","Obrigatório")</f>
        <v>Obrigatório</v>
      </c>
      <c r="D25" s="201"/>
      <c r="E25" s="201"/>
      <c r="F25" s="208" t="str">
        <f>IF($J$10=TRUE,"Certificate or Declaration of Waste Movement","Certificado de Movimentação de resíduo de interesse ambiental (CADRI)")</f>
        <v>Certificado de Movimentação de resíduo de interesse ambiental (CADRI)</v>
      </c>
      <c r="G25" s="209"/>
      <c r="H25" s="210"/>
      <c r="I25" s="24"/>
    </row>
    <row r="26" spans="2:10" ht="27.75" customHeight="1" x14ac:dyDescent="0.2">
      <c r="B26" s="37"/>
      <c r="C26" s="47" t="str">
        <f>IF($J$10=TRUE,"","Obrigatório")</f>
        <v>Obrigatório</v>
      </c>
      <c r="D26" s="201"/>
      <c r="E26" s="201"/>
      <c r="F26" s="208" t="str">
        <f>IF($J$10=TRUE,"","Licença da Polícia Federal")</f>
        <v>Licença da Polícia Federal</v>
      </c>
      <c r="G26" s="209"/>
      <c r="H26" s="210"/>
      <c r="I26" s="38"/>
      <c r="J26" s="32"/>
    </row>
    <row r="27" spans="2:10" ht="19.5" customHeight="1" x14ac:dyDescent="0.2">
      <c r="B27" s="37"/>
      <c r="C27" s="47" t="str">
        <f>IF($J$10=TRUE,"","Obrigatório")</f>
        <v>Obrigatório</v>
      </c>
      <c r="D27" s="201"/>
      <c r="E27" s="201"/>
      <c r="F27" s="208" t="str">
        <f>IF($J$10=TRUE,"","Licença IBAMA")</f>
        <v>Licença IBAMA</v>
      </c>
      <c r="G27" s="209"/>
      <c r="H27" s="210"/>
      <c r="I27" s="38"/>
      <c r="J27" s="32"/>
    </row>
    <row r="28" spans="2:10" x14ac:dyDescent="0.2">
      <c r="B28" s="37"/>
      <c r="C28" s="77"/>
      <c r="D28" s="32"/>
      <c r="E28" s="32"/>
      <c r="F28" s="32"/>
      <c r="G28" s="32"/>
      <c r="H28" s="32"/>
      <c r="I28" s="38"/>
      <c r="J28" s="32"/>
    </row>
    <row r="29" spans="2:10" x14ac:dyDescent="0.2">
      <c r="B29" s="36"/>
      <c r="C29" s="115" t="str">
        <f>IF($J$10=TRUE,"OBSERVATION:","OBSERVAÇÃO:")</f>
        <v>OBSERVAÇÃO:</v>
      </c>
      <c r="D29" s="232" t="str">
        <f>IF($J$10=TRUE,"After collection, send the treatment certificate and proof of collection","Após a coleta enviar o certificado de tratamento e comprovante de coleta")</f>
        <v>Após a coleta enviar o certificado de tratamento e comprovante de coleta</v>
      </c>
      <c r="E29" s="232"/>
      <c r="F29" s="232"/>
      <c r="G29" s="232"/>
      <c r="H29" s="232"/>
      <c r="I29" s="24"/>
    </row>
    <row r="30" spans="2:10" x14ac:dyDescent="0.2">
      <c r="B30" s="39"/>
      <c r="C30" s="84"/>
      <c r="D30" s="30"/>
      <c r="E30" s="30"/>
      <c r="F30" s="30"/>
      <c r="G30" s="30"/>
      <c r="H30" s="30"/>
      <c r="I30" s="31"/>
    </row>
    <row r="32" spans="2:10" x14ac:dyDescent="0.2">
      <c r="D32" s="154"/>
      <c r="E32" s="154"/>
      <c r="F32" s="154"/>
      <c r="G32" s="154"/>
      <c r="H32" s="154"/>
      <c r="I32" s="154"/>
      <c r="J32" s="139"/>
    </row>
    <row r="33" spans="2:10" x14ac:dyDescent="0.2">
      <c r="B33" s="41"/>
      <c r="C33" s="83"/>
      <c r="D33" s="42"/>
      <c r="E33" s="42"/>
      <c r="F33" s="42"/>
      <c r="G33" s="42"/>
      <c r="H33" s="42"/>
      <c r="I33" s="43"/>
      <c r="J33" s="40"/>
    </row>
    <row r="34" spans="2:10" x14ac:dyDescent="0.2">
      <c r="B34" s="36"/>
      <c r="I34" s="24"/>
    </row>
    <row r="35" spans="2:10" x14ac:dyDescent="0.2">
      <c r="B35" s="183" t="str">
        <f>IF($J$10=TRUE,"Read each statement and mark with an X in the column according to the company's service in the item.","Por favor, leia cada enunciado e assinale com um X na coluna correspondente ao atendimento da empresa para o respectivo item.")</f>
        <v>Por favor, leia cada enunciado e assinale com um X na coluna correspondente ao atendimento da empresa para o respectivo item.</v>
      </c>
      <c r="C35" s="184"/>
      <c r="D35" s="184"/>
      <c r="E35" s="184"/>
      <c r="F35" s="184"/>
      <c r="G35" s="184"/>
      <c r="H35" s="184"/>
      <c r="I35" s="185"/>
    </row>
    <row r="36" spans="2:10" ht="15.75" x14ac:dyDescent="0.2">
      <c r="B36" s="167" t="str">
        <f>IF($J$10=TRUE,"QUALITY AND FOOD SAFETY MANAGEMENT SYSTEM","SISTEMA DE GESTÃO DA QUALIDADE E SEGURANÇA DE ALIMENTOS")</f>
        <v>SISTEMA DE GESTÃO DA QUALIDADE E SEGURANÇA DE ALIMENTOS</v>
      </c>
      <c r="C36" s="168"/>
      <c r="D36" s="168"/>
      <c r="E36" s="168"/>
      <c r="F36" s="168"/>
      <c r="G36" s="168"/>
      <c r="H36" s="168"/>
      <c r="I36" s="169"/>
    </row>
    <row r="37" spans="2:10" ht="27" customHeight="1" x14ac:dyDescent="0.2">
      <c r="B37" s="170" t="str">
        <f>IF($J$10=TRUE,"Items (Answer the question with an X. If the answer is NA, please justify the answer at the Observation field.","Itens (Selecione a resposta com X) / Se NA, justificar em Observações")</f>
        <v>Itens (Selecione a resposta com X) / Se NA, justificar em Observações</v>
      </c>
      <c r="C37" s="171"/>
      <c r="D37" s="114" t="str">
        <f>IF($J$10=TRUE,"Yes","Sim")</f>
        <v>Sim</v>
      </c>
      <c r="E37" s="114" t="str">
        <f>IF($J$10=TRUE,"No","Não")</f>
        <v>Não</v>
      </c>
      <c r="F37" s="114" t="str">
        <f>IF($J$10=TRUE,"In progress","Em andamento")</f>
        <v>Em andamento</v>
      </c>
      <c r="G37" s="113" t="str">
        <f>IF($J$10=TRUE,"NA (not applicable)","NA")</f>
        <v>NA</v>
      </c>
      <c r="H37" s="172" t="str">
        <f>IF($J$10=TRUE,"Observation","Observações")</f>
        <v>Observações</v>
      </c>
      <c r="I37" s="173"/>
    </row>
    <row r="38" spans="2:10" ht="27" customHeight="1" x14ac:dyDescent="0.2">
      <c r="B38" s="99">
        <v>1</v>
      </c>
      <c r="C38" s="99" t="str">
        <f>IF($J$10=TRUE,"Does the company have regularization documents?","A empresa possui Documentos de regularização? ")</f>
        <v xml:space="preserve">A empresa possui Documentos de regularização? </v>
      </c>
      <c r="D38" s="129"/>
      <c r="E38" s="129"/>
      <c r="F38" s="129"/>
      <c r="G38" s="129"/>
      <c r="H38" s="166"/>
      <c r="I38" s="166"/>
    </row>
    <row r="39" spans="2:10" ht="34.5" customHeight="1" x14ac:dyDescent="0.2">
      <c r="B39" s="99">
        <f t="shared" ref="B39:B45" si="0">B38+1</f>
        <v>2</v>
      </c>
      <c r="C39" s="99" t="str">
        <f>IF($J$10=TRUE,"Does the company have a written service procedure?","A empresa possui procedimento por escrito do serviço prestado?")</f>
        <v>A empresa possui procedimento por escrito do serviço prestado?</v>
      </c>
      <c r="D39" s="129"/>
      <c r="E39" s="129"/>
      <c r="F39" s="129"/>
      <c r="G39" s="129"/>
      <c r="H39" s="166"/>
      <c r="I39" s="166"/>
    </row>
    <row r="40" spans="2:10" ht="37.5" customHeight="1" x14ac:dyDescent="0.2">
      <c r="B40" s="99">
        <f t="shared" si="0"/>
        <v>3</v>
      </c>
      <c r="C40" s="99" t="str">
        <f>IF($J$10=TRUE,"Are all personnel involved in the process properly qualified and are there internal records of this qualification?","Todo pessoal envolvido no processo é devidamente qualificado e existem registros internos dessa qualificação?")</f>
        <v>Todo pessoal envolvido no processo é devidamente qualificado e existem registros internos dessa qualificação?</v>
      </c>
      <c r="D40" s="129"/>
      <c r="E40" s="129"/>
      <c r="F40" s="129"/>
      <c r="G40" s="129"/>
      <c r="H40" s="166"/>
      <c r="I40" s="166"/>
    </row>
    <row r="41" spans="2:10" ht="51.75" customHeight="1" x14ac:dyDescent="0.2">
      <c r="B41" s="99">
        <f t="shared" si="0"/>
        <v>4</v>
      </c>
      <c r="C41" s="99" t="str">
        <f>IF($J$10=TRUE,"Are periodic health checks carried out and recorded for employees?","São realizados e registrados exames periódicos para controle de saúde dos funcionários?")</f>
        <v>São realizados e registrados exames periódicos para controle de saúde dos funcionários?</v>
      </c>
      <c r="D41" s="129"/>
      <c r="E41" s="129"/>
      <c r="F41" s="129"/>
      <c r="G41" s="129"/>
      <c r="H41" s="166"/>
      <c r="I41" s="166"/>
    </row>
    <row r="42" spans="2:10" ht="63.75" customHeight="1" x14ac:dyDescent="0.2">
      <c r="B42" s="99">
        <f t="shared" si="0"/>
        <v>5</v>
      </c>
      <c r="C42" s="99" t="str">
        <f>IF($J$10=TRUE,"Does the Company have a responsible person who is legally responsible for the services provided? Describe the category (Example: Chemist; Engineer, etc.)","A Empresa tem um responsável que responde legalmente pelos serviços prestados? Descrever a categoria (Exemplo: Químico ; Engenheiro, etc)")</f>
        <v>A Empresa tem um responsável que responde legalmente pelos serviços prestados? Descrever a categoria (Exemplo: Químico ; Engenheiro, etc)</v>
      </c>
      <c r="D42" s="129"/>
      <c r="E42" s="129"/>
      <c r="F42" s="129"/>
      <c r="G42" s="129"/>
      <c r="H42" s="166"/>
      <c r="I42" s="166"/>
    </row>
    <row r="43" spans="2:10" ht="27.75" customHeight="1" x14ac:dyDescent="0.2">
      <c r="B43" s="60">
        <f t="shared" si="0"/>
        <v>6</v>
      </c>
      <c r="C43" s="99" t="str">
        <f>IF($J$10=TRUE,"Is the service provided as previously agreed?","O serviço prestado é conforme previamente acordado?")</f>
        <v>O serviço prestado é conforme previamente acordado?</v>
      </c>
      <c r="D43" s="127"/>
      <c r="E43" s="130"/>
      <c r="F43" s="127"/>
      <c r="G43" s="127"/>
      <c r="H43" s="166"/>
      <c r="I43" s="166"/>
    </row>
    <row r="44" spans="2:10" ht="26.25" customHeight="1" x14ac:dyDescent="0.2">
      <c r="B44" s="60">
        <f t="shared" si="0"/>
        <v>7</v>
      </c>
      <c r="C44" s="99" t="str">
        <f>IF($J$10=TRUE,"Are there documented records of all services provided?","Há registros documentados de todo serviço prestado?")</f>
        <v>Há registros documentados de todo serviço prestado?</v>
      </c>
      <c r="D44" s="129"/>
      <c r="E44" s="129"/>
      <c r="F44" s="129"/>
      <c r="G44" s="129"/>
      <c r="H44" s="166"/>
      <c r="I44" s="166"/>
    </row>
    <row r="45" spans="2:10" ht="28.5" customHeight="1" x14ac:dyDescent="0.2">
      <c r="B45" s="60">
        <f t="shared" si="0"/>
        <v>8</v>
      </c>
      <c r="C45" s="99" t="str">
        <f>IF($J$10=TRUE,"Is the deadline allowed for performing the service met?","É cumprido o prazo permitido para realização do serviço?")</f>
        <v>É cumprido o prazo permitido para realização do serviço?</v>
      </c>
      <c r="D45" s="127"/>
      <c r="E45" s="127"/>
      <c r="F45" s="127"/>
      <c r="G45" s="127"/>
      <c r="H45" s="166"/>
      <c r="I45" s="166"/>
    </row>
    <row r="46" spans="2:10" ht="26.25" customHeight="1" x14ac:dyDescent="0.2">
      <c r="B46" s="60">
        <f t="shared" ref="B46:B53" si="1">B45+1</f>
        <v>9</v>
      </c>
      <c r="C46" s="99" t="str">
        <f>IF($J$10=TRUE,"Is there professional competence in performing the service?","Há competência profissional na execução do serviço?")</f>
        <v>Há competência profissional na execução do serviço?</v>
      </c>
      <c r="D46" s="127"/>
      <c r="E46" s="127"/>
      <c r="F46" s="127"/>
      <c r="G46" s="127"/>
      <c r="H46" s="166"/>
      <c r="I46" s="166"/>
    </row>
    <row r="47" spans="2:10" ht="33.75" customHeight="1" x14ac:dyDescent="0.2">
      <c r="B47" s="60">
        <f t="shared" si="1"/>
        <v>10</v>
      </c>
      <c r="C47" s="99" t="str">
        <f>IF($J$10=TRUE,"Is there sufficient resource use? (people, tools, materials)","Há uso de recursos em quantidade suficiente? (pessoas, ferramentas, materiais)")</f>
        <v>Há uso de recursos em quantidade suficiente? (pessoas, ferramentas, materiais)</v>
      </c>
      <c r="D47" s="129"/>
      <c r="E47" s="129"/>
      <c r="F47" s="129"/>
      <c r="G47" s="129"/>
      <c r="H47" s="166"/>
      <c r="I47" s="166"/>
    </row>
    <row r="48" spans="2:10" ht="40.5" customHeight="1" x14ac:dyDescent="0.2">
      <c r="B48" s="60">
        <f t="shared" si="1"/>
        <v>11</v>
      </c>
      <c r="C48" s="99" t="str">
        <f>IF($J$10=TRUE,"Are the employees of the providing company able to comply with the Contracting Company’s Standards?","Os colaboradores da empresa prestadora estão aptos a cumprir com as Normas da Empresa  contratante?")</f>
        <v>Os colaboradores da empresa prestadora estão aptos a cumprir com as Normas da Empresa  contratante?</v>
      </c>
      <c r="D48" s="129"/>
      <c r="E48" s="129"/>
      <c r="F48" s="129"/>
      <c r="G48" s="129"/>
      <c r="H48" s="166"/>
      <c r="I48" s="166"/>
    </row>
    <row r="49" spans="2:9" ht="31.5" customHeight="1" x14ac:dyDescent="0.2">
      <c r="B49" s="60">
        <f t="shared" si="1"/>
        <v>12</v>
      </c>
      <c r="C49" s="99" t="str">
        <f>IF($J$10=TRUE,"Do employee employees dress appropriately for their role?","Os colaboradores prestadores vestem-se adequadamente para o exercício do cargo?")</f>
        <v>Os colaboradores prestadores vestem-se adequadamente para o exercício do cargo?</v>
      </c>
      <c r="D49" s="129"/>
      <c r="E49" s="129"/>
      <c r="F49" s="129"/>
      <c r="G49" s="129"/>
      <c r="H49" s="166"/>
      <c r="I49" s="166"/>
    </row>
    <row r="50" spans="2:9" ht="29.25" customHeight="1" x14ac:dyDescent="0.2">
      <c r="B50" s="60">
        <f t="shared" si="1"/>
        <v>13</v>
      </c>
      <c r="C50" s="99" t="str">
        <f>IF($J$10=TRUE,"Do provider employees use PPE when necessary?","Os colaboradores prestadores usam EPI'S quando necessário?")</f>
        <v>Os colaboradores prestadores usam EPI'S quando necessário?</v>
      </c>
      <c r="D50" s="129"/>
      <c r="E50" s="129"/>
      <c r="F50" s="129"/>
      <c r="G50" s="129"/>
      <c r="H50" s="166"/>
      <c r="I50" s="166"/>
    </row>
    <row r="51" spans="2:9" ht="54" customHeight="1" x14ac:dyDescent="0.2">
      <c r="B51" s="60">
        <f t="shared" si="1"/>
        <v>14</v>
      </c>
      <c r="C51" s="99" t="str">
        <f>IF($J$10=TRUE,"Is the company committed to sending documents for Provider Qualification when requested?","A empresa  está comprometida no envio de documentos para Qualificação  de Prestadores quando solicitados?")</f>
        <v>A empresa  está comprometida no envio de documentos para Qualificação  de Prestadores quando solicitados?</v>
      </c>
      <c r="D51" s="129"/>
      <c r="E51" s="129"/>
      <c r="F51" s="129"/>
      <c r="G51" s="129"/>
      <c r="H51" s="166"/>
      <c r="I51" s="166"/>
    </row>
    <row r="52" spans="2:9" ht="43.5" customHeight="1" x14ac:dyDescent="0.2">
      <c r="B52" s="116">
        <f t="shared" si="1"/>
        <v>15</v>
      </c>
      <c r="C52" s="117" t="str">
        <f>IF($J$10=TRUE,"Is the company committed to sending update information when there are any changes to the process/service?","A empresa  está comprometida em enviar informações de atualização quando houver qualquer alteração no processo/e ou serviço?")</f>
        <v>A empresa  está comprometida em enviar informações de atualização quando houver qualquer alteração no processo/e ou serviço?</v>
      </c>
      <c r="D52" s="129"/>
      <c r="E52" s="129"/>
      <c r="F52" s="129"/>
      <c r="G52" s="129"/>
      <c r="H52" s="166"/>
      <c r="I52" s="166"/>
    </row>
    <row r="53" spans="2:9" ht="51" x14ac:dyDescent="0.2">
      <c r="B53" s="116">
        <f t="shared" si="1"/>
        <v>16</v>
      </c>
      <c r="C53" s="117" t="str">
        <f>IF($J$10=TRUE,"Does the company develop activities that optimize the use of natural resources (e.g.: control of consumption of water, energy, materials/inputs, etc.)?","A empresa desenvolve atividades que otimiza a utilização de recursos naturais (p.ex.: controle do consumo de água, energia, materiais/insumos, etc.)?")</f>
        <v>A empresa desenvolve atividades que otimiza a utilização de recursos naturais (p.ex.: controle do consumo de água, energia, materiais/insumos, etc.)?</v>
      </c>
      <c r="D53" s="129"/>
      <c r="E53" s="129"/>
      <c r="F53" s="129"/>
      <c r="G53" s="129"/>
      <c r="H53" s="166"/>
      <c r="I53" s="166"/>
    </row>
    <row r="55" spans="2:9" ht="32.25" customHeight="1" x14ac:dyDescent="0.2">
      <c r="B55" s="177" t="str">
        <f>IF($J$10=TRUE,"I declare that all information is true and that any changes in the manufacturing process, specification, or any other changes that impact the quality and/or traceability of the product supplied will be duly communicated to ICC Brazil.","Declaro que todas as informações são verídicas e que qualquer alteração no processo de fabricação, especificação, ou quaisquer outras mudanças que impactem na qualidade e/ou rastreabilidade do produto fornecido serão devidamente comunicados a ICC Brazil.")</f>
        <v>Declaro que todas as informações são verídicas e que qualquer alteração no processo de fabricação, especificação, ou quaisquer outras mudanças que impactem na qualidade e/ou rastreabilidade do produto fornecido serão devidamente comunicados a ICC Brazil.</v>
      </c>
      <c r="C55" s="177"/>
      <c r="D55" s="177"/>
      <c r="E55" s="177"/>
      <c r="F55" s="177"/>
      <c r="G55" s="177"/>
      <c r="H55" s="177"/>
      <c r="I55" s="177"/>
    </row>
    <row r="57" spans="2:9" x14ac:dyDescent="0.2">
      <c r="C57" s="65" t="str">
        <f>IF($J$10=TRUE,"Responsible for completing:","Responsável pelo preenchimento:")</f>
        <v>Responsável pelo preenchimento:</v>
      </c>
      <c r="D57" s="166"/>
      <c r="E57" s="166"/>
      <c r="F57" s="166"/>
      <c r="G57" s="166"/>
      <c r="H57" s="166"/>
    </row>
    <row r="58" spans="2:9" x14ac:dyDescent="0.2">
      <c r="C58" s="65" t="str">
        <f>IF($J$10=TRUE,"Job Title:","Cargo:")</f>
        <v>Cargo:</v>
      </c>
      <c r="D58" s="166"/>
      <c r="E58" s="166"/>
      <c r="F58" s="166"/>
      <c r="G58" s="166"/>
      <c r="H58" s="166"/>
    </row>
    <row r="59" spans="2:9" x14ac:dyDescent="0.2">
      <c r="C59" s="65" t="str">
        <f>IF($J$10=TRUE,"Date:","Data:")</f>
        <v>Data:</v>
      </c>
      <c r="D59" s="166"/>
      <c r="E59" s="166"/>
      <c r="F59" s="166"/>
      <c r="G59" s="166"/>
      <c r="H59" s="166"/>
    </row>
    <row r="63" spans="2:9" x14ac:dyDescent="0.2">
      <c r="C63" s="181"/>
      <c r="D63" s="181"/>
      <c r="E63" s="181"/>
      <c r="F63" s="181"/>
      <c r="G63" s="181"/>
      <c r="H63" s="181"/>
    </row>
    <row r="64" spans="2:9" x14ac:dyDescent="0.2">
      <c r="C64" s="175" t="str">
        <f>IF($J$10=TRUE,"Signature","Assinatura")</f>
        <v>Assinatura</v>
      </c>
      <c r="D64" s="176"/>
      <c r="E64" s="176"/>
      <c r="F64" s="176"/>
      <c r="G64" s="176"/>
      <c r="H64" s="176"/>
    </row>
  </sheetData>
  <sheetProtection algorithmName="SHA-512" hashValue="5gSLKamBKOYJUohRSaSTyygWZ/dg+PJCK8deDkDEFh//yiEAjf19ukxLGOsCQ9NmpI1+543QvTB0bplaJuhA4w==" saltValue="aKQceBJnHwHILMb55Dt5ew==" spinCount="100000" sheet="1"/>
  <mergeCells count="57">
    <mergeCell ref="D25:E25"/>
    <mergeCell ref="D26:E26"/>
    <mergeCell ref="F25:H25"/>
    <mergeCell ref="J1:J2"/>
    <mergeCell ref="J3:J4"/>
    <mergeCell ref="D14:H14"/>
    <mergeCell ref="F24:H24"/>
    <mergeCell ref="D24:E24"/>
    <mergeCell ref="F26:H26"/>
    <mergeCell ref="A1:B4"/>
    <mergeCell ref="C1:I4"/>
    <mergeCell ref="C12:H12"/>
    <mergeCell ref="C13:H13"/>
    <mergeCell ref="C10:H10"/>
    <mergeCell ref="C11:H11"/>
    <mergeCell ref="B14:C14"/>
    <mergeCell ref="B5:H5"/>
    <mergeCell ref="E6:F6"/>
    <mergeCell ref="D21:E21"/>
    <mergeCell ref="B37:C37"/>
    <mergeCell ref="D15:H15"/>
    <mergeCell ref="F21:H21"/>
    <mergeCell ref="F22:H22"/>
    <mergeCell ref="F23:H23"/>
    <mergeCell ref="D23:E23"/>
    <mergeCell ref="H37:I37"/>
    <mergeCell ref="C20:H20"/>
    <mergeCell ref="D22:E22"/>
    <mergeCell ref="B15:C15"/>
    <mergeCell ref="B35:I35"/>
    <mergeCell ref="D27:E27"/>
    <mergeCell ref="F27:H27"/>
    <mergeCell ref="D32:J32"/>
    <mergeCell ref="H49:I49"/>
    <mergeCell ref="H42:I42"/>
    <mergeCell ref="H43:I43"/>
    <mergeCell ref="D29:H29"/>
    <mergeCell ref="B36:I36"/>
    <mergeCell ref="H45:I45"/>
    <mergeCell ref="H39:I39"/>
    <mergeCell ref="H40:I40"/>
    <mergeCell ref="H41:I41"/>
    <mergeCell ref="H44:I44"/>
    <mergeCell ref="H46:I46"/>
    <mergeCell ref="H47:I47"/>
    <mergeCell ref="H48:I48"/>
    <mergeCell ref="H38:I38"/>
    <mergeCell ref="C64:H64"/>
    <mergeCell ref="B55:I55"/>
    <mergeCell ref="D57:H57"/>
    <mergeCell ref="H50:I50"/>
    <mergeCell ref="H51:I51"/>
    <mergeCell ref="H52:I52"/>
    <mergeCell ref="H53:I53"/>
    <mergeCell ref="D58:H58"/>
    <mergeCell ref="D59:H59"/>
    <mergeCell ref="C63:H63"/>
  </mergeCells>
  <dataValidations count="1">
    <dataValidation type="list" allowBlank="1" showInputMessage="1" showErrorMessage="1" sqref="D22:E27">
      <formula1>"SIM/YES,NÃO/NO"</formula1>
    </dataValidation>
  </dataValidations>
  <pageMargins left="0.511811024" right="0.511811024" top="0.78740157499999996" bottom="0.78740157499999996" header="0.31496062000000002" footer="0.31496062000000002"/>
  <pageSetup paperSize="9" orientation="portrait" horizontalDpi="0"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43715" r:id="rId4" name="Check Box 1731">
              <controlPr locked="0" defaultSize="0" autoFill="0" autoLine="0" autoPict="0">
                <anchor moveWithCells="1">
                  <from>
                    <xdr:col>3</xdr:col>
                    <xdr:colOff>28575</xdr:colOff>
                    <xdr:row>4</xdr:row>
                    <xdr:rowOff>419100</xdr:rowOff>
                  </from>
                  <to>
                    <xdr:col>5</xdr:col>
                    <xdr:colOff>209550</xdr:colOff>
                    <xdr:row>6</xdr:row>
                    <xdr:rowOff>95250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11">
    <tabColor theme="0"/>
  </sheetPr>
  <dimension ref="A1:J62"/>
  <sheetViews>
    <sheetView showGridLines="0" workbookViewId="0">
      <selection activeCell="J5" sqref="J5"/>
    </sheetView>
  </sheetViews>
  <sheetFormatPr defaultColWidth="0" defaultRowHeight="12.75" x14ac:dyDescent="0.2"/>
  <cols>
    <col min="1" max="1" width="4.5703125" customWidth="1"/>
    <col min="2" max="2" width="16.140625" customWidth="1"/>
    <col min="3" max="3" width="33" customWidth="1"/>
    <col min="4" max="5" width="7.7109375" customWidth="1"/>
    <col min="6" max="6" width="20.7109375" customWidth="1"/>
    <col min="7" max="7" width="7.7109375" customWidth="1"/>
    <col min="8" max="8" width="20.7109375" customWidth="1"/>
    <col min="9" max="9" width="18.7109375" customWidth="1"/>
    <col min="10" max="10" width="16.140625" customWidth="1"/>
  </cols>
  <sheetData>
    <row r="1" spans="1:10" ht="12.75" customHeight="1" x14ac:dyDescent="0.2">
      <c r="A1" s="195"/>
      <c r="B1" s="196"/>
      <c r="C1" s="193" t="s">
        <v>73</v>
      </c>
      <c r="D1" s="159"/>
      <c r="E1" s="159"/>
      <c r="F1" s="159"/>
      <c r="G1" s="159"/>
      <c r="H1" s="159"/>
      <c r="I1" s="160"/>
      <c r="J1" s="147" t="s">
        <v>42</v>
      </c>
    </row>
    <row r="2" spans="1:10" ht="12.75" customHeight="1" x14ac:dyDescent="0.2">
      <c r="A2" s="197"/>
      <c r="B2" s="198"/>
      <c r="C2" s="193"/>
      <c r="D2" s="159"/>
      <c r="E2" s="159"/>
      <c r="F2" s="159"/>
      <c r="G2" s="159"/>
      <c r="H2" s="159"/>
      <c r="I2" s="160"/>
      <c r="J2" s="148"/>
    </row>
    <row r="3" spans="1:10" ht="12.75" customHeight="1" x14ac:dyDescent="0.2">
      <c r="A3" s="197"/>
      <c r="B3" s="198"/>
      <c r="C3" s="193"/>
      <c r="D3" s="159"/>
      <c r="E3" s="159"/>
      <c r="F3" s="159"/>
      <c r="G3" s="159"/>
      <c r="H3" s="159"/>
      <c r="I3" s="160"/>
      <c r="J3" s="148" t="s">
        <v>80</v>
      </c>
    </row>
    <row r="4" spans="1:10" ht="13.5" customHeight="1" thickBot="1" x14ac:dyDescent="0.25">
      <c r="A4" s="199"/>
      <c r="B4" s="200"/>
      <c r="C4" s="194"/>
      <c r="D4" s="161"/>
      <c r="E4" s="161"/>
      <c r="F4" s="161"/>
      <c r="G4" s="161"/>
      <c r="H4" s="161"/>
      <c r="I4" s="162"/>
      <c r="J4" s="149"/>
    </row>
    <row r="5" spans="1:10" ht="28.5" customHeight="1" x14ac:dyDescent="0.2">
      <c r="B5" s="203" t="s">
        <v>43</v>
      </c>
      <c r="C5" s="203"/>
      <c r="D5" s="203"/>
      <c r="E5" s="203"/>
      <c r="F5" s="203"/>
      <c r="G5" s="203"/>
      <c r="H5" s="203"/>
    </row>
    <row r="6" spans="1:10" ht="21.75" customHeight="1" x14ac:dyDescent="0.2">
      <c r="B6" s="10"/>
      <c r="C6" s="111"/>
      <c r="D6" s="10"/>
      <c r="E6" s="214"/>
      <c r="F6" s="214"/>
    </row>
    <row r="7" spans="1:10" x14ac:dyDescent="0.2">
      <c r="B7" s="10"/>
      <c r="C7" s="10"/>
    </row>
    <row r="8" spans="1:10" ht="11.25" customHeight="1" x14ac:dyDescent="0.2">
      <c r="B8" s="19"/>
      <c r="C8" s="20"/>
      <c r="D8" s="21"/>
      <c r="E8" s="21"/>
      <c r="F8" s="21"/>
      <c r="G8" s="21"/>
      <c r="H8" s="21"/>
      <c r="I8" s="22"/>
    </row>
    <row r="9" spans="1:10" x14ac:dyDescent="0.2">
      <c r="B9" s="23"/>
      <c r="C9" s="10"/>
      <c r="I9" s="24"/>
    </row>
    <row r="10" spans="1:10" ht="18" customHeight="1" x14ac:dyDescent="0.25">
      <c r="B10" s="25" t="str">
        <f>IF($J$10=TRUE,"Corporate Name:","Razão Social:")</f>
        <v>Razão Social:</v>
      </c>
      <c r="C10" s="204"/>
      <c r="D10" s="204"/>
      <c r="E10" s="204"/>
      <c r="F10" s="204"/>
      <c r="G10" s="204"/>
      <c r="H10" s="204"/>
      <c r="I10" s="26"/>
      <c r="J10" s="128" t="b">
        <v>0</v>
      </c>
    </row>
    <row r="11" spans="1:10" ht="18" customHeight="1" x14ac:dyDescent="0.25">
      <c r="B11" s="25" t="str">
        <f>IF($J$10=TRUE,"Fantasy Name:","Nome Fantasia:")</f>
        <v>Nome Fantasia:</v>
      </c>
      <c r="C11" s="204"/>
      <c r="D11" s="204"/>
      <c r="E11" s="204"/>
      <c r="F11" s="204"/>
      <c r="G11" s="204"/>
      <c r="H11" s="204"/>
      <c r="I11" s="24"/>
    </row>
    <row r="12" spans="1:10" ht="18" customHeight="1" x14ac:dyDescent="0.25">
      <c r="B12" s="25" t="str">
        <f>IF($J$10=TRUE,"TIN:","CNPJ:")</f>
        <v>CNPJ:</v>
      </c>
      <c r="C12" s="204"/>
      <c r="D12" s="204"/>
      <c r="E12" s="204"/>
      <c r="F12" s="204"/>
      <c r="G12" s="204"/>
      <c r="H12" s="204"/>
      <c r="I12" s="26"/>
    </row>
    <row r="13" spans="1:10" ht="18" customHeight="1" x14ac:dyDescent="0.25">
      <c r="B13" s="25" t="str">
        <f>IF($J$10=TRUE,"Adress:","Endereço:")</f>
        <v>Endereço:</v>
      </c>
      <c r="C13" s="204"/>
      <c r="D13" s="204"/>
      <c r="E13" s="204"/>
      <c r="F13" s="204"/>
      <c r="G13" s="204"/>
      <c r="H13" s="204"/>
      <c r="I13" s="26"/>
    </row>
    <row r="14" spans="1:10" ht="18" customHeight="1" x14ac:dyDescent="0.2">
      <c r="B14" s="164" t="str">
        <f>IF($J$10=TRUE,"Product supplied to ICC Brazil:","Produto (s) fornecido (s) para a ICC:")</f>
        <v>Produto (s) fornecido (s) para a ICC:</v>
      </c>
      <c r="C14" s="165"/>
      <c r="D14" s="216"/>
      <c r="E14" s="216"/>
      <c r="F14" s="216"/>
      <c r="G14" s="216"/>
      <c r="H14" s="216"/>
      <c r="I14" s="24"/>
    </row>
    <row r="15" spans="1:10" ht="18" customHeight="1" x14ac:dyDescent="0.2">
      <c r="B15" s="240" t="str">
        <f>IF($J$10=TRUE,"CEO:","Responsável Técnico:")</f>
        <v>Responsável Técnico:</v>
      </c>
      <c r="C15" s="241"/>
      <c r="D15" s="216"/>
      <c r="E15" s="216"/>
      <c r="F15" s="216"/>
      <c r="G15" s="216"/>
      <c r="H15" s="216"/>
      <c r="I15" s="24"/>
    </row>
    <row r="16" spans="1:10" x14ac:dyDescent="0.2">
      <c r="B16" s="28"/>
      <c r="C16" s="29"/>
      <c r="D16" s="30"/>
      <c r="E16" s="30"/>
      <c r="F16" s="30"/>
      <c r="G16" s="30"/>
      <c r="H16" s="30"/>
      <c r="I16" s="31"/>
    </row>
    <row r="17" spans="2:10" x14ac:dyDescent="0.2">
      <c r="B17" s="16"/>
      <c r="C17" s="16"/>
    </row>
    <row r="18" spans="2:10" x14ac:dyDescent="0.2">
      <c r="B18" s="16"/>
      <c r="C18" s="16"/>
    </row>
    <row r="19" spans="2:10" x14ac:dyDescent="0.2">
      <c r="B19" s="33"/>
      <c r="C19" s="34"/>
      <c r="D19" s="21"/>
      <c r="E19" s="21"/>
      <c r="F19" s="21"/>
      <c r="G19" s="21"/>
      <c r="H19" s="21"/>
      <c r="I19" s="22"/>
    </row>
    <row r="20" spans="2:10" x14ac:dyDescent="0.2">
      <c r="B20" s="35"/>
      <c r="C20" s="205" t="str">
        <f>IF($J$10=TRUE,"Please select the submitted documents below","Selecione abaixo os documentos enviados.")</f>
        <v>Selecione abaixo os documentos enviados.</v>
      </c>
      <c r="D20" s="205"/>
      <c r="E20" s="205"/>
      <c r="F20" s="205"/>
      <c r="G20" s="205"/>
      <c r="H20" s="205"/>
      <c r="I20" s="24"/>
    </row>
    <row r="21" spans="2:10" x14ac:dyDescent="0.2">
      <c r="B21" s="35"/>
      <c r="C21" s="44" t="str">
        <f>IF($J$10=TRUE,"REQUIREMENT","REQUISITO")</f>
        <v>REQUISITO</v>
      </c>
      <c r="D21" s="206" t="str">
        <f>IF($J$10=TRUE,"SENT","ENVIADO")</f>
        <v>ENVIADO</v>
      </c>
      <c r="E21" s="206"/>
      <c r="F21" s="187" t="str">
        <f>IF($J$10=TRUE,"DOCUMENTS","DOCUMENTOS")</f>
        <v>DOCUMENTOS</v>
      </c>
      <c r="G21" s="188"/>
      <c r="H21" s="189"/>
      <c r="I21" s="24"/>
    </row>
    <row r="22" spans="2:10" x14ac:dyDescent="0.2">
      <c r="B22" s="35"/>
      <c r="C22" s="47" t="str">
        <f>IF($J$10=TRUE,"Mandatory","Obrigatório")</f>
        <v>Obrigatório</v>
      </c>
      <c r="D22" s="201"/>
      <c r="E22" s="201"/>
      <c r="F22" s="221" t="str">
        <f>IF($J$10=TRUE,"Registration of the establishment with the competent body","Registro do estabelecimento no órgão competente")</f>
        <v>Registro do estabelecimento no órgão competente</v>
      </c>
      <c r="G22" s="222"/>
      <c r="H22" s="223"/>
      <c r="I22" s="24"/>
    </row>
    <row r="23" spans="2:10" x14ac:dyDescent="0.2">
      <c r="B23" s="36"/>
      <c r="C23" s="47" t="str">
        <f>IF($J$10=TRUE,"Mandatory","Obrigatório")</f>
        <v>Obrigatório</v>
      </c>
      <c r="D23" s="201"/>
      <c r="E23" s="201"/>
      <c r="F23" s="221" t="str">
        <f>IF($J$10=TRUE,"Scope of supply","Escopo de fornecimento")</f>
        <v>Escopo de fornecimento</v>
      </c>
      <c r="G23" s="222"/>
      <c r="H23" s="223"/>
      <c r="I23" s="24"/>
    </row>
    <row r="24" spans="2:10" x14ac:dyDescent="0.2">
      <c r="B24" s="37"/>
      <c r="C24" s="47" t="str">
        <f>IF($J$10=TRUE,"Mandatory","Obrigatório")</f>
        <v>Obrigatório</v>
      </c>
      <c r="D24" s="201"/>
      <c r="E24" s="201"/>
      <c r="F24" s="221" t="str">
        <f>IF($J$10=TRUE,"License issued by the environmental agency","Licença de Operação")</f>
        <v>Licença de Operação</v>
      </c>
      <c r="G24" s="222"/>
      <c r="H24" s="223"/>
      <c r="I24" s="38"/>
      <c r="J24" s="32"/>
    </row>
    <row r="25" spans="2:10" ht="30.75" customHeight="1" x14ac:dyDescent="0.2">
      <c r="B25" s="37"/>
      <c r="C25" s="47" t="str">
        <f>IF($J$10=TRUE,"Mandatory","Obrigatório")</f>
        <v>Obrigatório</v>
      </c>
      <c r="D25" s="201"/>
      <c r="E25" s="201"/>
      <c r="F25" s="217" t="str">
        <f>IF($J$10=TRUE,"ISO 17025 or traceable standards accreditation","ISO 17025 ou Acreditação à RBC/INMETRO ou utilização de padrões rastreáveis à RBC/INMETRO")</f>
        <v>ISO 17025 ou Acreditação à RBC/INMETRO ou utilização de padrões rastreáveis à RBC/INMETRO</v>
      </c>
      <c r="G25" s="218"/>
      <c r="H25" s="219"/>
      <c r="I25" s="38"/>
      <c r="J25" s="32"/>
    </row>
    <row r="26" spans="2:10" x14ac:dyDescent="0.2">
      <c r="B26" s="39"/>
      <c r="C26" s="30"/>
      <c r="D26" s="30"/>
      <c r="E26" s="30"/>
      <c r="F26" s="30"/>
      <c r="G26" s="30"/>
      <c r="H26" s="30"/>
      <c r="I26" s="31"/>
    </row>
    <row r="28" spans="2:10" x14ac:dyDescent="0.2">
      <c r="D28" s="154"/>
      <c r="E28" s="154"/>
      <c r="F28" s="154"/>
      <c r="G28" s="154"/>
      <c r="H28" s="154"/>
      <c r="I28" s="154"/>
      <c r="J28" s="139"/>
    </row>
    <row r="29" spans="2:10" x14ac:dyDescent="0.2">
      <c r="B29" s="41"/>
      <c r="C29" s="21"/>
      <c r="D29" s="42"/>
      <c r="E29" s="42"/>
      <c r="F29" s="42"/>
      <c r="G29" s="42"/>
      <c r="H29" s="42"/>
      <c r="I29" s="43"/>
      <c r="J29" s="40"/>
    </row>
    <row r="30" spans="2:10" ht="18" customHeight="1" x14ac:dyDescent="0.2">
      <c r="B30" s="36"/>
      <c r="I30" s="24"/>
    </row>
    <row r="31" spans="2:10" ht="18" customHeight="1" x14ac:dyDescent="0.2">
      <c r="B31" s="236" t="str">
        <f>IF($J$10=TRUE,"Read each statement and mark with an X in the column according to the company's service in the item.","Por favor, leia cada enunciado e assinale com um X na coluna correspondente ao atendimento da empresa para o respectivo item.")</f>
        <v>Por favor, leia cada enunciado e assinale com um X na coluna correspondente ao atendimento da empresa para o respectivo item.</v>
      </c>
      <c r="C31" s="237"/>
      <c r="D31" s="237"/>
      <c r="E31" s="237"/>
      <c r="F31" s="237"/>
      <c r="G31" s="237"/>
      <c r="H31" s="237"/>
      <c r="I31" s="238"/>
    </row>
    <row r="32" spans="2:10" ht="18" customHeight="1" x14ac:dyDescent="0.2">
      <c r="B32" s="167" t="str">
        <f>IF($J$10=TRUE,"QUALITY AND FOOD SAFETY MANAGEMENT SYSTEM","SISTEMA DE GESTÃO DA QUALIDADE E SEGURANÇA DE ALIMENTOS")</f>
        <v>SISTEMA DE GESTÃO DA QUALIDADE E SEGURANÇA DE ALIMENTOS</v>
      </c>
      <c r="C32" s="168"/>
      <c r="D32" s="168"/>
      <c r="E32" s="168"/>
      <c r="F32" s="168"/>
      <c r="G32" s="168"/>
      <c r="H32" s="168"/>
      <c r="I32" s="169"/>
    </row>
    <row r="33" spans="2:9" ht="26.25" customHeight="1" x14ac:dyDescent="0.2">
      <c r="B33" s="170" t="str">
        <f>IF($J$10=TRUE,"Items (Answer the question with an X. If the answer is NA, please justify the answer at the Observation field.","Itens (Selecione a resposta com X) / Se NA, justificar em Observações")</f>
        <v>Itens (Selecione a resposta com X) / Se NA, justificar em Observações</v>
      </c>
      <c r="C33" s="171"/>
      <c r="D33" s="114" t="str">
        <f>IF($J$10=TRUE,"Yes","Sim")</f>
        <v>Sim</v>
      </c>
      <c r="E33" s="114" t="str">
        <f>IF($J$10=TRUE,"No","Não")</f>
        <v>Não</v>
      </c>
      <c r="F33" s="114" t="str">
        <f>IF($J$10=TRUE,"In progress","Em andamento")</f>
        <v>Em andamento</v>
      </c>
      <c r="G33" s="113" t="str">
        <f>IF($J$10=TRUE,"NA (not applicable)","NA")</f>
        <v>NA</v>
      </c>
      <c r="H33" s="172" t="str">
        <f>IF($J$10=TRUE,"Observation","Observações")</f>
        <v>Observações</v>
      </c>
      <c r="I33" s="173"/>
    </row>
    <row r="34" spans="2:9" ht="28.5" customHeight="1" x14ac:dyDescent="0.2">
      <c r="B34" s="60">
        <v>1</v>
      </c>
      <c r="C34" s="45" t="str">
        <f>IF($J$10=TRUE,"Does the company accept customer audits?","A empresa aceita auditoria de clientes?")</f>
        <v>A empresa aceita auditoria de clientes?</v>
      </c>
      <c r="D34" s="129"/>
      <c r="E34" s="129"/>
      <c r="F34" s="129"/>
      <c r="G34" s="129"/>
      <c r="H34" s="166"/>
      <c r="I34" s="166"/>
    </row>
    <row r="35" spans="2:9" ht="42" customHeight="1" x14ac:dyDescent="0.2">
      <c r="B35" s="60">
        <v>2</v>
      </c>
      <c r="C35" s="45" t="str">
        <f>IF($J$10=TRUE,"Is access control carried out to areas that affect the quality of calibrations?","É realizado o controle de acesso às áreas que afetam a qualidade das calibrações?")</f>
        <v>É realizado o controle de acesso às áreas que afetam a qualidade das calibrações?</v>
      </c>
      <c r="D35" s="127"/>
      <c r="E35" s="127"/>
      <c r="F35" s="127"/>
      <c r="G35" s="127"/>
      <c r="H35" s="166"/>
      <c r="I35" s="166"/>
    </row>
    <row r="36" spans="2:9" ht="25.5" x14ac:dyDescent="0.2">
      <c r="B36" s="99">
        <v>3</v>
      </c>
      <c r="C36" s="99" t="str">
        <f>IF($J$10=TRUE,"Does the company have regularization documents?","A empresa possui documentos de regularização? ")</f>
        <v xml:space="preserve">A empresa possui documentos de regularização? </v>
      </c>
      <c r="D36" s="129"/>
      <c r="E36" s="129"/>
      <c r="F36" s="129"/>
      <c r="G36" s="129"/>
      <c r="H36" s="166"/>
      <c r="I36" s="166"/>
    </row>
    <row r="37" spans="2:9" ht="25.5" x14ac:dyDescent="0.2">
      <c r="B37" s="99">
        <f t="shared" ref="B37:B49" si="0">B36+1</f>
        <v>4</v>
      </c>
      <c r="C37" s="99" t="str">
        <f>IF($J$10=TRUE,"Does the company have a written service procedure?","A empresa possui procedimento por escrito do serviço prestado?")</f>
        <v>A empresa possui procedimento por escrito do serviço prestado?</v>
      </c>
      <c r="D37" s="129"/>
      <c r="E37" s="129"/>
      <c r="F37" s="129"/>
      <c r="G37" s="129"/>
      <c r="H37" s="166"/>
      <c r="I37" s="166"/>
    </row>
    <row r="38" spans="2:9" ht="38.25" x14ac:dyDescent="0.2">
      <c r="B38" s="99">
        <f t="shared" si="0"/>
        <v>5</v>
      </c>
      <c r="C38" s="99" t="str">
        <f>IF($J$10=TRUE,"Are all personnel involved in the process properly qualified and are there internal records of this qualification?","Todo pessoal envolvido no processo é devidamente qualificado e existem registros internos dessa qualificação?")</f>
        <v>Todo pessoal envolvido no processo é devidamente qualificado e existem registros internos dessa qualificação?</v>
      </c>
      <c r="D38" s="129"/>
      <c r="E38" s="129"/>
      <c r="F38" s="129"/>
      <c r="G38" s="129"/>
      <c r="H38" s="166"/>
      <c r="I38" s="166"/>
    </row>
    <row r="39" spans="2:9" ht="38.25" x14ac:dyDescent="0.2">
      <c r="B39" s="99">
        <f t="shared" si="0"/>
        <v>6</v>
      </c>
      <c r="C39" s="99" t="str">
        <f>IF($J$10=TRUE,"Are periodic health checks carried out and recorded for employees?","São realizados e registrados exames periódicos para controle de saúde dos funcionários?")</f>
        <v>São realizados e registrados exames periódicos para controle de saúde dos funcionários?</v>
      </c>
      <c r="D39" s="129"/>
      <c r="E39" s="129"/>
      <c r="F39" s="129"/>
      <c r="G39" s="129"/>
      <c r="H39" s="166"/>
      <c r="I39" s="166"/>
    </row>
    <row r="40" spans="2:9" ht="58.5" customHeight="1" x14ac:dyDescent="0.2">
      <c r="B40" s="99">
        <f t="shared" si="0"/>
        <v>7</v>
      </c>
      <c r="C40" s="99" t="str">
        <f>IF($J$10=TRUE,"Does the Company have a responsible person who is legally responsible for the services provided? Describe the category (Example: Chemist; Engineer, etc.)","A Empresa tem um responsável que responde legalmente pelos serviços prestados? Descrever a categoria (Exemplo: Químico ; Engenheiro, etc)")</f>
        <v>A Empresa tem um responsável que responde legalmente pelos serviços prestados? Descrever a categoria (Exemplo: Químico ; Engenheiro, etc)</v>
      </c>
      <c r="D40" s="129"/>
      <c r="E40" s="129"/>
      <c r="F40" s="129"/>
      <c r="G40" s="129"/>
      <c r="H40" s="166"/>
      <c r="I40" s="166"/>
    </row>
    <row r="41" spans="2:9" ht="25.5" x14ac:dyDescent="0.2">
      <c r="B41" s="60">
        <f t="shared" si="0"/>
        <v>8</v>
      </c>
      <c r="C41" s="99" t="str">
        <f>IF($J$10=TRUE,"Are there documented records of all services provided?","Há registros documentados de todo serviço prestado?")</f>
        <v>Há registros documentados de todo serviço prestado?</v>
      </c>
      <c r="D41" s="129"/>
      <c r="E41" s="129"/>
      <c r="F41" s="129"/>
      <c r="G41" s="129"/>
      <c r="H41" s="166"/>
      <c r="I41" s="166"/>
    </row>
    <row r="42" spans="2:9" ht="25.5" x14ac:dyDescent="0.2">
      <c r="B42" s="60">
        <f t="shared" si="0"/>
        <v>9</v>
      </c>
      <c r="C42" s="99" t="str">
        <f>IF($J$10=TRUE,"Is the deadline allowed for performing the service met?","É cumprido o prazo permitido para realização do serviço?")</f>
        <v>É cumprido o prazo permitido para realização do serviço?</v>
      </c>
      <c r="D42" s="127"/>
      <c r="E42" s="127"/>
      <c r="F42" s="127"/>
      <c r="G42" s="127"/>
      <c r="H42" s="166"/>
      <c r="I42" s="166"/>
    </row>
    <row r="43" spans="2:9" ht="25.5" x14ac:dyDescent="0.2">
      <c r="B43" s="60">
        <f t="shared" si="0"/>
        <v>10</v>
      </c>
      <c r="C43" s="99" t="str">
        <f>IF($J$10=TRUE,"Is there professional competence in performing the service?","Há competência profissional na execução do serviço?")</f>
        <v>Há competência profissional na execução do serviço?</v>
      </c>
      <c r="D43" s="127"/>
      <c r="E43" s="127"/>
      <c r="F43" s="127"/>
      <c r="G43" s="127"/>
      <c r="H43" s="166"/>
      <c r="I43" s="166"/>
    </row>
    <row r="44" spans="2:9" ht="38.25" x14ac:dyDescent="0.2">
      <c r="B44" s="60">
        <f t="shared" si="0"/>
        <v>11</v>
      </c>
      <c r="C44" s="99" t="str">
        <f>IF($J$10=TRUE,"Is there sufficient resource use? (people, tools, materials)","Há uso de recursos em quantidade suficiente? (pessoas, ferramentas, materiais)")</f>
        <v>Há uso de recursos em quantidade suficiente? (pessoas, ferramentas, materiais)</v>
      </c>
      <c r="D44" s="129"/>
      <c r="E44" s="129"/>
      <c r="F44" s="129"/>
      <c r="G44" s="129"/>
      <c r="H44" s="166"/>
      <c r="I44" s="166"/>
    </row>
    <row r="45" spans="2:9" ht="51" x14ac:dyDescent="0.2">
      <c r="B45" s="60">
        <f t="shared" si="0"/>
        <v>12</v>
      </c>
      <c r="C45" s="99" t="str">
        <f>IF($J$10=TRUE,"Are the employees of the providing company able to comply with the Contracting Company’s Standards?","Os colaboradores da empresa prestadora estão aptos a cumprir com as Normas da Empresa  contratante?")</f>
        <v>Os colaboradores da empresa prestadora estão aptos a cumprir com as Normas da Empresa  contratante?</v>
      </c>
      <c r="D45" s="129"/>
      <c r="E45" s="129"/>
      <c r="F45" s="129"/>
      <c r="G45" s="129"/>
      <c r="H45" s="166"/>
      <c r="I45" s="166"/>
    </row>
    <row r="46" spans="2:9" ht="38.25" x14ac:dyDescent="0.2">
      <c r="B46" s="60">
        <f t="shared" si="0"/>
        <v>13</v>
      </c>
      <c r="C46" s="99" t="str">
        <f>IF($J$10=TRUE,"Do employee employees dress appropriately for their role?","Os colaboradores prestadores vestem-se adequadamente para o exercício do cargo?")</f>
        <v>Os colaboradores prestadores vestem-se adequadamente para o exercício do cargo?</v>
      </c>
      <c r="D46" s="129"/>
      <c r="E46" s="129"/>
      <c r="F46" s="129"/>
      <c r="G46" s="129"/>
      <c r="H46" s="166"/>
      <c r="I46" s="166"/>
    </row>
    <row r="47" spans="2:9" ht="25.5" x14ac:dyDescent="0.2">
      <c r="B47" s="60">
        <f t="shared" si="0"/>
        <v>14</v>
      </c>
      <c r="C47" s="99" t="str">
        <f>IF($J$10=TRUE,"Do provider employees use PPE when necessary?","Os colaboradores prestadores usam EPI'S quando necessário?")</f>
        <v>Os colaboradores prestadores usam EPI'S quando necessário?</v>
      </c>
      <c r="D47" s="129"/>
      <c r="E47" s="129"/>
      <c r="F47" s="129"/>
      <c r="G47" s="129"/>
      <c r="H47" s="166"/>
      <c r="I47" s="166"/>
    </row>
    <row r="48" spans="2:9" ht="51" x14ac:dyDescent="0.2">
      <c r="B48" s="116">
        <f t="shared" si="0"/>
        <v>15</v>
      </c>
      <c r="C48" s="117" t="str">
        <f>IF($J$10=TRUE,"Is the company committed to sending update information when there are any changes to the process/service?","A empresa  está comprometida em enviar informações de atualização quando houver qualquer alteração no processo/e ou serviço?")</f>
        <v>A empresa  está comprometida em enviar informações de atualização quando houver qualquer alteração no processo/e ou serviço?</v>
      </c>
      <c r="D48" s="129"/>
      <c r="E48" s="129"/>
      <c r="F48" s="129"/>
      <c r="G48" s="129"/>
      <c r="H48" s="166"/>
      <c r="I48" s="166"/>
    </row>
    <row r="49" spans="2:9" ht="63.75" x14ac:dyDescent="0.2">
      <c r="B49" s="116">
        <f t="shared" si="0"/>
        <v>16</v>
      </c>
      <c r="C49" s="117" t="str">
        <f>IF($J$10=TRUE,"Does the company develop activities that optimize the use of natural resources (e.g.: control of consumption of water, energy, materials/inputs, etc.)?","A empresa desenvolve atividades que otimiza a utilização de recursos naturais (p.ex.: controle do consumo de água, energia, materiais/insumos, etc.)?")</f>
        <v>A empresa desenvolve atividades que otimiza a utilização de recursos naturais (p.ex.: controle do consumo de água, energia, materiais/insumos, etc.)?</v>
      </c>
      <c r="D49" s="129"/>
      <c r="E49" s="129"/>
      <c r="F49" s="129"/>
      <c r="G49" s="129"/>
      <c r="H49" s="166"/>
      <c r="I49" s="166"/>
    </row>
    <row r="50" spans="2:9" ht="89.25" x14ac:dyDescent="0.2">
      <c r="B50" s="116">
        <f>B49+1</f>
        <v>17</v>
      </c>
      <c r="C50" s="117" t="str">
        <f>IF($J$10=TRUE,"Does the company maintain activities, linked to production processes and/or services, that minimize impacts on the Environment? (e.g.: control of adequate waste disposal, reduction of noise generation, etc.)","A empresa mantém atividades, ligadas aos processos produtivos e/ou serviços, que minimizem os impactos ao Meio Ambiente? (p.ex.: controle do descarte adequado de resíduos, redução da geração de ruídos, etc.) ")</f>
        <v xml:space="preserve">A empresa mantém atividades, ligadas aos processos produtivos e/ou serviços, que minimizem os impactos ao Meio Ambiente? (p.ex.: controle do descarte adequado de resíduos, redução da geração de ruídos, etc.) </v>
      </c>
      <c r="D50" s="129"/>
      <c r="E50" s="129"/>
      <c r="F50" s="129"/>
      <c r="G50" s="129"/>
      <c r="H50" s="166"/>
      <c r="I50" s="166"/>
    </row>
    <row r="51" spans="2:9" ht="51" x14ac:dyDescent="0.2">
      <c r="B51" s="116">
        <f>B50+1</f>
        <v>18</v>
      </c>
      <c r="C51" s="117" t="str">
        <f>IF($J$10=TRUE,"Supervision of the work performed? (problem detection and execution before service delivery)","Há supervisão do trabalho executado? (detecção e execução de problema antes da entrega do serviço)")</f>
        <v>Há supervisão do trabalho executado? (detecção e execução de problema antes da entrega do serviço)</v>
      </c>
      <c r="D51" s="129"/>
      <c r="E51" s="129"/>
      <c r="F51" s="129"/>
      <c r="G51" s="129"/>
      <c r="H51" s="166"/>
      <c r="I51" s="166"/>
    </row>
    <row r="53" spans="2:9" ht="32.25" customHeight="1" x14ac:dyDescent="0.2">
      <c r="B53" s="239" t="str">
        <f>IF($J$10=TRUE,"I declare that all information is true and that any changes in the manufacturing process, specification, or any other changes that impact the quality and/or traceability of the product supplied will be duly communicated to ICC Brazil.","Declaro que todas as informações são verídicas e que qualquer alteração no processo de fabricação, especificação, ou quaisquer outras mudanças que impactem na qualidade e/ou rastreabilidade do produto fornecido serão devidamente comunicados a ICC Brazil.")</f>
        <v>Declaro que todas as informações são verídicas e que qualquer alteração no processo de fabricação, especificação, ou quaisquer outras mudanças que impactem na qualidade e/ou rastreabilidade do produto fornecido serão devidamente comunicados a ICC Brazil.</v>
      </c>
      <c r="C53" s="239"/>
      <c r="D53" s="239"/>
      <c r="E53" s="239"/>
      <c r="F53" s="239"/>
      <c r="G53" s="239"/>
      <c r="H53" s="239"/>
      <c r="I53" s="239"/>
    </row>
    <row r="54" spans="2:9" x14ac:dyDescent="0.2">
      <c r="C54" s="48"/>
    </row>
    <row r="55" spans="2:9" x14ac:dyDescent="0.2">
      <c r="C55" s="125" t="str">
        <f>IF($J$10=TRUE,"Responsible for completing:","Responsável pelo preenchimento:")</f>
        <v>Responsável pelo preenchimento:</v>
      </c>
      <c r="D55" s="166"/>
      <c r="E55" s="166"/>
      <c r="F55" s="166"/>
      <c r="G55" s="166"/>
      <c r="H55" s="166"/>
    </row>
    <row r="56" spans="2:9" x14ac:dyDescent="0.2">
      <c r="C56" s="125" t="str">
        <f>IF($J$10=TRUE,"Job Title:","Cargo:")</f>
        <v>Cargo:</v>
      </c>
      <c r="D56" s="166"/>
      <c r="E56" s="166"/>
      <c r="F56" s="166"/>
      <c r="G56" s="166"/>
      <c r="H56" s="166"/>
    </row>
    <row r="57" spans="2:9" x14ac:dyDescent="0.2">
      <c r="C57" s="125" t="str">
        <f>IF($J$10=TRUE,"Date:","Data:")</f>
        <v>Data:</v>
      </c>
      <c r="D57" s="166"/>
      <c r="E57" s="166"/>
      <c r="F57" s="166"/>
      <c r="G57" s="166"/>
      <c r="H57" s="166"/>
    </row>
    <row r="58" spans="2:9" x14ac:dyDescent="0.2">
      <c r="C58" s="48"/>
    </row>
    <row r="59" spans="2:9" x14ac:dyDescent="0.2">
      <c r="C59" s="48"/>
    </row>
    <row r="60" spans="2:9" x14ac:dyDescent="0.2">
      <c r="C60" s="48"/>
    </row>
    <row r="61" spans="2:9" x14ac:dyDescent="0.2">
      <c r="C61" s="181"/>
      <c r="D61" s="181"/>
      <c r="E61" s="181"/>
      <c r="F61" s="181"/>
      <c r="G61" s="181"/>
      <c r="H61" s="181"/>
    </row>
    <row r="62" spans="2:9" x14ac:dyDescent="0.2">
      <c r="C62" s="175" t="str">
        <f>IF($J$10=TRUE,"Signature","Assinatura")</f>
        <v>Assinatura</v>
      </c>
      <c r="D62" s="176"/>
      <c r="E62" s="176"/>
      <c r="F62" s="176"/>
      <c r="G62" s="176"/>
      <c r="H62" s="176"/>
    </row>
  </sheetData>
  <sheetProtection algorithmName="SHA-512" hashValue="J9yucYiMGH6WSU0pLj29fciiEw4LjvGJoRB3KF1rK88O0v9rboHKj5sU4waKal6WRJY9mO0q3tEDnTlKG3yE8g==" saltValue="sBRxegBFXFb2ikse7z5bEQ==" spinCount="100000" sheet="1"/>
  <mergeCells count="54">
    <mergeCell ref="F25:H25"/>
    <mergeCell ref="C61:H61"/>
    <mergeCell ref="J1:J2"/>
    <mergeCell ref="J3:J4"/>
    <mergeCell ref="C10:H10"/>
    <mergeCell ref="F23:H23"/>
    <mergeCell ref="B33:C33"/>
    <mergeCell ref="C1:I4"/>
    <mergeCell ref="B5:H5"/>
    <mergeCell ref="E6:F6"/>
    <mergeCell ref="C12:H12"/>
    <mergeCell ref="D14:H14"/>
    <mergeCell ref="B14:C14"/>
    <mergeCell ref="A1:B4"/>
    <mergeCell ref="B15:C15"/>
    <mergeCell ref="D22:E22"/>
    <mergeCell ref="F24:H24"/>
    <mergeCell ref="D28:J28"/>
    <mergeCell ref="H33:I33"/>
    <mergeCell ref="H34:I34"/>
    <mergeCell ref="F22:H22"/>
    <mergeCell ref="C62:H62"/>
    <mergeCell ref="H51:I51"/>
    <mergeCell ref="H50:I50"/>
    <mergeCell ref="H42:I42"/>
    <mergeCell ref="H43:I43"/>
    <mergeCell ref="D56:H56"/>
    <mergeCell ref="D57:H57"/>
    <mergeCell ref="B53:I53"/>
    <mergeCell ref="D55:H55"/>
    <mergeCell ref="H48:I48"/>
    <mergeCell ref="H49:I49"/>
    <mergeCell ref="H46:I46"/>
    <mergeCell ref="H47:I47"/>
    <mergeCell ref="H45:I45"/>
    <mergeCell ref="H40:I40"/>
    <mergeCell ref="H41:I41"/>
    <mergeCell ref="H39:I39"/>
    <mergeCell ref="C11:H11"/>
    <mergeCell ref="C13:H13"/>
    <mergeCell ref="H37:I37"/>
    <mergeCell ref="H38:I38"/>
    <mergeCell ref="H44:I44"/>
    <mergeCell ref="H36:I36"/>
    <mergeCell ref="D15:H15"/>
    <mergeCell ref="D21:E21"/>
    <mergeCell ref="D23:E23"/>
    <mergeCell ref="D24:E24"/>
    <mergeCell ref="D25:E25"/>
    <mergeCell ref="B32:I32"/>
    <mergeCell ref="C20:H20"/>
    <mergeCell ref="B31:I31"/>
    <mergeCell ref="F21:H21"/>
    <mergeCell ref="H35:I35"/>
  </mergeCells>
  <dataValidations count="1">
    <dataValidation type="list" allowBlank="1" showInputMessage="1" showErrorMessage="1" sqref="D22:E25">
      <formula1>"SIM/YES,NÃO/NO"</formula1>
    </dataValidation>
  </dataValidations>
  <pageMargins left="0.511811024" right="0.511811024" top="0.78740157499999996" bottom="0.78740157499999996" header="0.31496062000000002" footer="0.31496062000000002"/>
  <drawing r:id="rId1"/>
  <legacyDrawing r:id="rId2"/>
  <mc:AlternateContent xmlns:mc="http://schemas.openxmlformats.org/markup-compatibility/2006">
    <mc:Choice Requires="x14">
      <controls>
        <mc:AlternateContent xmlns:mc="http://schemas.openxmlformats.org/markup-compatibility/2006">
          <mc:Choice Requires="x14">
            <control shapeId="40716" r:id="rId3" name="Check Box 1804">
              <controlPr locked="0" defaultSize="0" autoFill="0" autoLine="0" autoPict="0">
                <anchor moveWithCells="1">
                  <from>
                    <xdr:col>3</xdr:col>
                    <xdr:colOff>285750</xdr:colOff>
                    <xdr:row>4</xdr:row>
                    <xdr:rowOff>400050</xdr:rowOff>
                  </from>
                  <to>
                    <xdr:col>5</xdr:col>
                    <xdr:colOff>476250</xdr:colOff>
                    <xdr:row>5</xdr:row>
                    <xdr:rowOff>323850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12">
    <tabColor theme="0"/>
  </sheetPr>
  <dimension ref="A1:J64"/>
  <sheetViews>
    <sheetView showGridLines="0" topLeftCell="A47" workbookViewId="0">
      <selection activeCell="J5" sqref="J5"/>
    </sheetView>
  </sheetViews>
  <sheetFormatPr defaultColWidth="0" defaultRowHeight="12.75" x14ac:dyDescent="0.2"/>
  <cols>
    <col min="1" max="1" width="4.5703125" customWidth="1"/>
    <col min="2" max="2" width="18.7109375" customWidth="1"/>
    <col min="3" max="3" width="28.7109375" customWidth="1"/>
    <col min="4" max="5" width="7.7109375" customWidth="1"/>
    <col min="6" max="6" width="20.7109375" customWidth="1"/>
    <col min="7" max="7" width="7.7109375" customWidth="1"/>
    <col min="8" max="8" width="20.7109375" customWidth="1"/>
    <col min="9" max="9" width="18.7109375" customWidth="1"/>
    <col min="10" max="10" width="15.42578125" customWidth="1"/>
  </cols>
  <sheetData>
    <row r="1" spans="1:10" ht="12.75" customHeight="1" x14ac:dyDescent="0.2">
      <c r="A1" s="195"/>
      <c r="B1" s="196"/>
      <c r="C1" s="193" t="s">
        <v>48</v>
      </c>
      <c r="D1" s="159"/>
      <c r="E1" s="159"/>
      <c r="F1" s="159"/>
      <c r="G1" s="159"/>
      <c r="H1" s="159"/>
      <c r="I1" s="160"/>
      <c r="J1" s="147" t="s">
        <v>42</v>
      </c>
    </row>
    <row r="2" spans="1:10" ht="12.75" customHeight="1" x14ac:dyDescent="0.2">
      <c r="A2" s="197"/>
      <c r="B2" s="198"/>
      <c r="C2" s="193"/>
      <c r="D2" s="159"/>
      <c r="E2" s="159"/>
      <c r="F2" s="159"/>
      <c r="G2" s="159"/>
      <c r="H2" s="159"/>
      <c r="I2" s="160"/>
      <c r="J2" s="148"/>
    </row>
    <row r="3" spans="1:10" ht="12.75" customHeight="1" x14ac:dyDescent="0.2">
      <c r="A3" s="197"/>
      <c r="B3" s="198"/>
      <c r="C3" s="193"/>
      <c r="D3" s="159"/>
      <c r="E3" s="159"/>
      <c r="F3" s="159"/>
      <c r="G3" s="159"/>
      <c r="H3" s="159"/>
      <c r="I3" s="160"/>
      <c r="J3" s="148" t="s">
        <v>80</v>
      </c>
    </row>
    <row r="4" spans="1:10" ht="13.5" customHeight="1" thickBot="1" x14ac:dyDescent="0.25">
      <c r="A4" s="199"/>
      <c r="B4" s="200"/>
      <c r="C4" s="194"/>
      <c r="D4" s="161"/>
      <c r="E4" s="161"/>
      <c r="F4" s="161"/>
      <c r="G4" s="161"/>
      <c r="H4" s="161"/>
      <c r="I4" s="162"/>
      <c r="J4" s="149"/>
    </row>
    <row r="5" spans="1:10" ht="24.75" customHeight="1" x14ac:dyDescent="0.2">
      <c r="B5" s="203" t="s">
        <v>43</v>
      </c>
      <c r="C5" s="203"/>
      <c r="D5" s="203"/>
      <c r="E5" s="203"/>
      <c r="F5" s="203"/>
      <c r="G5" s="203"/>
      <c r="H5" s="203"/>
    </row>
    <row r="6" spans="1:10" x14ac:dyDescent="0.2">
      <c r="B6" s="10"/>
      <c r="C6" s="111"/>
      <c r="D6" s="10"/>
      <c r="E6" s="214"/>
      <c r="F6" s="214"/>
    </row>
    <row r="7" spans="1:10" x14ac:dyDescent="0.2">
      <c r="B7" s="10"/>
      <c r="C7" s="10"/>
    </row>
    <row r="8" spans="1:10" ht="11.25" customHeight="1" x14ac:dyDescent="0.2">
      <c r="B8" s="19"/>
      <c r="C8" s="20"/>
      <c r="D8" s="21"/>
      <c r="E8" s="21"/>
      <c r="F8" s="21"/>
      <c r="G8" s="21"/>
      <c r="H8" s="21"/>
      <c r="I8" s="22"/>
    </row>
    <row r="9" spans="1:10" x14ac:dyDescent="0.2">
      <c r="B9" s="23"/>
      <c r="C9" s="10"/>
      <c r="I9" s="24"/>
    </row>
    <row r="10" spans="1:10" ht="18" customHeight="1" x14ac:dyDescent="0.25">
      <c r="B10" s="25" t="str">
        <f>IF($J$10=TRUE,"Corporate Name:","Razão Social:")</f>
        <v>Razão Social:</v>
      </c>
      <c r="C10" s="204"/>
      <c r="D10" s="204"/>
      <c r="E10" s="204"/>
      <c r="F10" s="204"/>
      <c r="G10" s="204"/>
      <c r="H10" s="204"/>
      <c r="I10" s="26"/>
      <c r="J10" s="128" t="b">
        <v>0</v>
      </c>
    </row>
    <row r="11" spans="1:10" ht="18" customHeight="1" x14ac:dyDescent="0.25">
      <c r="B11" s="25" t="str">
        <f>IF($J$10=TRUE,"Fantasy Name:","Nome Fantasia:")</f>
        <v>Nome Fantasia:</v>
      </c>
      <c r="C11" s="204"/>
      <c r="D11" s="204"/>
      <c r="E11" s="204"/>
      <c r="F11" s="204"/>
      <c r="G11" s="204"/>
      <c r="H11" s="204"/>
      <c r="I11" s="24"/>
    </row>
    <row r="12" spans="1:10" ht="18" customHeight="1" x14ac:dyDescent="0.25">
      <c r="B12" s="25" t="str">
        <f>IF($J$10=TRUE,"TIN:","CNPJ:")</f>
        <v>CNPJ:</v>
      </c>
      <c r="C12" s="204"/>
      <c r="D12" s="204"/>
      <c r="E12" s="204"/>
      <c r="F12" s="204"/>
      <c r="G12" s="204"/>
      <c r="H12" s="204"/>
      <c r="I12" s="26"/>
    </row>
    <row r="13" spans="1:10" ht="18" customHeight="1" x14ac:dyDescent="0.25">
      <c r="B13" s="25" t="str">
        <f>IF($J$10=TRUE,"Adress:","Endereço:")</f>
        <v>Endereço:</v>
      </c>
      <c r="C13" s="204"/>
      <c r="D13" s="204"/>
      <c r="E13" s="204"/>
      <c r="F13" s="204"/>
      <c r="G13" s="204"/>
      <c r="H13" s="204"/>
      <c r="I13" s="26"/>
    </row>
    <row r="14" spans="1:10" ht="18" customHeight="1" x14ac:dyDescent="0.2">
      <c r="B14" s="164" t="str">
        <f>IF($J$10=TRUE,"Product supplied to ICC Brazil:","Produto (s) fornecido (s) para a ICC:")</f>
        <v>Produto (s) fornecido (s) para a ICC:</v>
      </c>
      <c r="C14" s="165"/>
      <c r="D14" s="216"/>
      <c r="E14" s="216"/>
      <c r="F14" s="216"/>
      <c r="G14" s="216"/>
      <c r="H14" s="216"/>
      <c r="I14" s="24"/>
    </row>
    <row r="15" spans="1:10" ht="18" customHeight="1" x14ac:dyDescent="0.2">
      <c r="B15" s="240" t="str">
        <f>IF($J$10=TRUE,"CEO:","Responsável Técnico:")</f>
        <v>Responsável Técnico:</v>
      </c>
      <c r="C15" s="241"/>
      <c r="D15" s="216"/>
      <c r="E15" s="216"/>
      <c r="F15" s="216"/>
      <c r="G15" s="216"/>
      <c r="H15" s="216"/>
      <c r="I15" s="24"/>
    </row>
    <row r="16" spans="1:10" x14ac:dyDescent="0.2">
      <c r="B16" s="28"/>
      <c r="C16" s="29"/>
      <c r="D16" s="30"/>
      <c r="E16" s="30"/>
      <c r="F16" s="30"/>
      <c r="G16" s="30"/>
      <c r="H16" s="30"/>
      <c r="I16" s="31"/>
    </row>
    <row r="17" spans="2:10" x14ac:dyDescent="0.2">
      <c r="B17" s="16"/>
      <c r="C17" s="16"/>
    </row>
    <row r="18" spans="2:10" x14ac:dyDescent="0.2">
      <c r="B18" s="16"/>
      <c r="C18" s="16"/>
    </row>
    <row r="19" spans="2:10" x14ac:dyDescent="0.2">
      <c r="B19" s="33"/>
      <c r="C19" s="34"/>
      <c r="D19" s="21"/>
      <c r="E19" s="21"/>
      <c r="F19" s="21"/>
      <c r="G19" s="21"/>
      <c r="H19" s="21"/>
      <c r="I19" s="22"/>
    </row>
    <row r="20" spans="2:10" x14ac:dyDescent="0.2">
      <c r="B20" s="35"/>
      <c r="C20" s="205" t="str">
        <f>IF($J$10=TRUE,"Please select the submitted documents below","Selecione abaixo os documentos enviados.")</f>
        <v>Selecione abaixo os documentos enviados.</v>
      </c>
      <c r="D20" s="205"/>
      <c r="E20" s="205"/>
      <c r="F20" s="205"/>
      <c r="G20" s="205"/>
      <c r="H20" s="205"/>
      <c r="I20" s="24"/>
    </row>
    <row r="21" spans="2:10" x14ac:dyDescent="0.2">
      <c r="B21" s="35"/>
      <c r="C21" s="44" t="str">
        <f>IF($J$10=TRUE,"REQUIREMENT","REQUISITO")</f>
        <v>REQUISITO</v>
      </c>
      <c r="D21" s="206" t="str">
        <f>IF($J$10=TRUE,"SENT","ENVIADO")</f>
        <v>ENVIADO</v>
      </c>
      <c r="E21" s="206"/>
      <c r="F21" s="187" t="str">
        <f>IF($J$10=TRUE,"DOCUMENTS","DOCUMENTOS")</f>
        <v>DOCUMENTOS</v>
      </c>
      <c r="G21" s="188"/>
      <c r="H21" s="189"/>
      <c r="I21" s="24"/>
    </row>
    <row r="22" spans="2:10" x14ac:dyDescent="0.2">
      <c r="B22" s="35"/>
      <c r="C22" s="47" t="str">
        <f>IF($J$10=TRUE,"Mandatory","Obrigatório")</f>
        <v>Obrigatório</v>
      </c>
      <c r="D22" s="201"/>
      <c r="E22" s="201"/>
      <c r="F22" s="221" t="str">
        <f>IF($J$10=TRUE,"Government-issued operating license","Alvará da Prefeitura")</f>
        <v>Alvará da Prefeitura</v>
      </c>
      <c r="G22" s="222"/>
      <c r="H22" s="223"/>
      <c r="I22" s="24"/>
    </row>
    <row r="23" spans="2:10" x14ac:dyDescent="0.2">
      <c r="B23" s="36"/>
      <c r="C23" s="47" t="str">
        <f>IF($J$10=TRUE,"Mandatory","Obrigatório")</f>
        <v>Obrigatório</v>
      </c>
      <c r="D23" s="201"/>
      <c r="E23" s="201"/>
      <c r="F23" s="221" t="str">
        <f>IF($J$10=TRUE,"Fire department license, if applicable","Auto de Vistoria do Corpo de Bombeiros (AVCB)")</f>
        <v>Auto de Vistoria do Corpo de Bombeiros (AVCB)</v>
      </c>
      <c r="G23" s="222"/>
      <c r="H23" s="223"/>
      <c r="I23" s="24"/>
    </row>
    <row r="24" spans="2:10" x14ac:dyDescent="0.2">
      <c r="B24" s="37"/>
      <c r="C24" s="47" t="str">
        <f>IF($J$10=TRUE,"Mandatory","Obrigatório")</f>
        <v>Obrigatório</v>
      </c>
      <c r="D24" s="201"/>
      <c r="E24" s="201"/>
      <c r="F24" s="221" t="str">
        <f>IF($J$10=TRUE,"Declaration of technical responsibility of CEO","Anotação do Responsável Técnico (ART)")</f>
        <v>Anotação do Responsável Técnico (ART)</v>
      </c>
      <c r="G24" s="222"/>
      <c r="H24" s="223"/>
      <c r="I24" s="38"/>
      <c r="J24" s="32"/>
    </row>
    <row r="25" spans="2:10" ht="30.75" customHeight="1" x14ac:dyDescent="0.2">
      <c r="B25" s="37"/>
      <c r="C25" s="47" t="str">
        <f>IF($J$10=TRUE,"Mandatory","Obrigatório")</f>
        <v>Obrigatório</v>
      </c>
      <c r="D25" s="201"/>
      <c r="E25" s="201"/>
      <c r="F25" s="217" t="str">
        <f>IF($J$10=TRUE,"Occupational Health Medical Control Program","PCMSO (Programa de Controle Médico de Saúde Ocupacional)")</f>
        <v>PCMSO (Programa de Controle Médico de Saúde Ocupacional)</v>
      </c>
      <c r="G25" s="218"/>
      <c r="H25" s="219"/>
      <c r="I25" s="38"/>
      <c r="J25" s="32"/>
    </row>
    <row r="26" spans="2:10" ht="40.5" customHeight="1" x14ac:dyDescent="0.2">
      <c r="B26" s="36"/>
      <c r="C26" s="47" t="str">
        <f>IF($J$10=TRUE,"Mandatory","Obrigatório")</f>
        <v>Obrigatório</v>
      </c>
      <c r="D26" s="201"/>
      <c r="E26" s="201"/>
      <c r="F26" s="217" t="str">
        <f>IF($J$10=TRUE,"Training of all employees who work at heights above 2 meters from the lower level where there is a risk of falling","Treinamento de NR 35 de todos os colaboradores que fazem serviço em altura acima  2 metros do nível inferior onde há risco de queda")</f>
        <v>Treinamento de NR 35 de todos os colaboradores que fazem serviço em altura acima  2 metros do nível inferior onde há risco de queda</v>
      </c>
      <c r="G26" s="218"/>
      <c r="H26" s="219"/>
      <c r="I26" s="24"/>
    </row>
    <row r="27" spans="2:10" x14ac:dyDescent="0.2">
      <c r="B27" s="36"/>
      <c r="C27" s="46" t="str">
        <f>IF($J$10=TRUE,"Differencial","Diferencial")</f>
        <v>Diferencial</v>
      </c>
      <c r="D27" s="201"/>
      <c r="E27" s="201"/>
      <c r="F27" s="221" t="str">
        <f>IF($J$10=TRUE,"Certifications: ISO 9000, among others","Certificações: ISO 9000, entre outros")</f>
        <v>Certificações: ISO 9000, entre outros</v>
      </c>
      <c r="G27" s="222"/>
      <c r="H27" s="223"/>
      <c r="I27" s="24"/>
    </row>
    <row r="28" spans="2:10" x14ac:dyDescent="0.2">
      <c r="B28" s="39"/>
      <c r="C28" s="30"/>
      <c r="D28" s="30"/>
      <c r="E28" s="30"/>
      <c r="F28" s="30"/>
      <c r="G28" s="30"/>
      <c r="H28" s="30"/>
      <c r="I28" s="31"/>
    </row>
    <row r="30" spans="2:10" x14ac:dyDescent="0.2">
      <c r="D30" s="154"/>
      <c r="E30" s="154"/>
      <c r="F30" s="154"/>
      <c r="G30" s="154"/>
      <c r="H30" s="154"/>
      <c r="I30" s="154"/>
      <c r="J30" s="139"/>
    </row>
    <row r="31" spans="2:10" x14ac:dyDescent="0.2">
      <c r="B31" s="41"/>
      <c r="C31" s="21"/>
      <c r="D31" s="42"/>
      <c r="E31" s="42"/>
      <c r="F31" s="42"/>
      <c r="G31" s="42"/>
      <c r="H31" s="42"/>
      <c r="I31" s="43"/>
      <c r="J31" s="40"/>
    </row>
    <row r="32" spans="2:10" x14ac:dyDescent="0.2">
      <c r="B32" s="36"/>
      <c r="I32" s="24"/>
    </row>
    <row r="33" spans="2:9" x14ac:dyDescent="0.2">
      <c r="B33" s="236" t="str">
        <f>IF($J$10=TRUE,"Read each statement and mark with an X in the column according to the company's service in the item.","Por favor, leia cada enunciado e assinale com um X na coluna correspondente ao atendimento da empresa para o respectivo item.")</f>
        <v>Por favor, leia cada enunciado e assinale com um X na coluna correspondente ao atendimento da empresa para o respectivo item.</v>
      </c>
      <c r="C33" s="237"/>
      <c r="D33" s="237"/>
      <c r="E33" s="237"/>
      <c r="F33" s="237"/>
      <c r="G33" s="237"/>
      <c r="H33" s="237"/>
      <c r="I33" s="238"/>
    </row>
    <row r="34" spans="2:9" ht="15.75" x14ac:dyDescent="0.2">
      <c r="B34" s="167" t="str">
        <f>IF($J$10=TRUE,"QUALITY AND FOOD SAFETY MANAGEMENT SYSTEM","SISTEMA DE GESTÃO DA QUALIDADE E SEGURANÇA DE ALIMENTOS")</f>
        <v>SISTEMA DE GESTÃO DA QUALIDADE E SEGURANÇA DE ALIMENTOS</v>
      </c>
      <c r="C34" s="168"/>
      <c r="D34" s="168"/>
      <c r="E34" s="168"/>
      <c r="F34" s="168"/>
      <c r="G34" s="168"/>
      <c r="H34" s="168"/>
      <c r="I34" s="169"/>
    </row>
    <row r="35" spans="2:9" ht="32.25" customHeight="1" x14ac:dyDescent="0.2">
      <c r="B35" s="170" t="str">
        <f>IF($J$10=TRUE,"Items (Answer the question with an X. If the answer is NA, please justify the answer at the Observation field.","Itens (Selecione a resposta com X) / Se NA, justificar em Observações")</f>
        <v>Itens (Selecione a resposta com X) / Se NA, justificar em Observações</v>
      </c>
      <c r="C35" s="171"/>
      <c r="D35" s="114" t="str">
        <f>IF($J$10=TRUE,"Yes","Sim")</f>
        <v>Sim</v>
      </c>
      <c r="E35" s="114" t="str">
        <f>IF($J$10=TRUE,"No","Não")</f>
        <v>Não</v>
      </c>
      <c r="F35" s="114" t="str">
        <f>IF($J$10=TRUE,"In progress","Em andamento")</f>
        <v>Em andamento</v>
      </c>
      <c r="G35" s="113" t="str">
        <f>IF($J$10=TRUE,"NA (not applicable)","NA")</f>
        <v>NA</v>
      </c>
      <c r="H35" s="172" t="str">
        <f>IF($J$10=TRUE,"Observation","Observações")</f>
        <v>Observações</v>
      </c>
      <c r="I35" s="173"/>
    </row>
    <row r="36" spans="2:9" ht="25.5" x14ac:dyDescent="0.2">
      <c r="B36" s="99">
        <v>1</v>
      </c>
      <c r="C36" s="99" t="str">
        <f>IF($J$10=TRUE,"Does the company have regularization documents?","A empresa possui documentos de regularização? ")</f>
        <v xml:space="preserve">A empresa possui documentos de regularização? </v>
      </c>
      <c r="D36" s="129"/>
      <c r="E36" s="129"/>
      <c r="F36" s="129"/>
      <c r="G36" s="129"/>
      <c r="H36" s="166"/>
      <c r="I36" s="166"/>
    </row>
    <row r="37" spans="2:9" ht="39.75" customHeight="1" x14ac:dyDescent="0.2">
      <c r="B37" s="60">
        <f>B36+1</f>
        <v>2</v>
      </c>
      <c r="C37" s="99" t="str">
        <f>IF($J$10=TRUE,"Does the company have a written service procedure?","A empresa possui procedimento por escrito do serviço prestado?")</f>
        <v>A empresa possui procedimento por escrito do serviço prestado?</v>
      </c>
      <c r="D37" s="129"/>
      <c r="E37" s="129"/>
      <c r="F37" s="129"/>
      <c r="G37" s="129"/>
      <c r="H37" s="166"/>
      <c r="I37" s="166"/>
    </row>
    <row r="38" spans="2:9" ht="66.75" customHeight="1" x14ac:dyDescent="0.2">
      <c r="B38" s="60">
        <f t="shared" ref="B38:B51" si="0">B37+1</f>
        <v>3</v>
      </c>
      <c r="C38" s="99" t="str">
        <f>IF($J$10=TRUE,"Are all personnel involved in the process properly qualified and are there internal records of this qualification?","Todo pessoal envolvido no processo é devidamente qualificado e existem registros internos dessa qualificação?")</f>
        <v>Todo pessoal envolvido no processo é devidamente qualificado e existem registros internos dessa qualificação?</v>
      </c>
      <c r="D38" s="129"/>
      <c r="E38" s="129"/>
      <c r="F38" s="129"/>
      <c r="G38" s="129"/>
      <c r="H38" s="166"/>
      <c r="I38" s="166"/>
    </row>
    <row r="39" spans="2:9" ht="38.25" x14ac:dyDescent="0.2">
      <c r="B39" s="60">
        <f t="shared" si="0"/>
        <v>4</v>
      </c>
      <c r="C39" s="99" t="str">
        <f>IF($J$10=TRUE,"Are periodic health checks carried out and recorded for employees?","São realizados e registrados exames periódicos para controle de saúde dos funcionários?")</f>
        <v>São realizados e registrados exames periódicos para controle de saúde dos funcionários?</v>
      </c>
      <c r="D39" s="129"/>
      <c r="E39" s="129"/>
      <c r="F39" s="129"/>
      <c r="G39" s="129"/>
      <c r="H39" s="166"/>
      <c r="I39" s="166"/>
    </row>
    <row r="40" spans="2:9" ht="63.75" x14ac:dyDescent="0.2">
      <c r="B40" s="60">
        <f t="shared" si="0"/>
        <v>5</v>
      </c>
      <c r="C40" s="99" t="str">
        <f>IF($J$10=TRUE,"Does the Company have a responsible person who is legally responsible for the services provided? Describe the category (Example: Chemist; Engineer, etc.)","A Empresa tem um responsável que responde legalmente pelos serviços prestados? Descrever a categoria (Exemplo: Químico ; Engenheiro, etc)")</f>
        <v>A Empresa tem um responsável que responde legalmente pelos serviços prestados? Descrever a categoria (Exemplo: Químico ; Engenheiro, etc)</v>
      </c>
      <c r="D40" s="129"/>
      <c r="E40" s="129"/>
      <c r="F40" s="129"/>
      <c r="G40" s="129"/>
      <c r="H40" s="166"/>
      <c r="I40" s="166"/>
    </row>
    <row r="41" spans="2:9" ht="25.5" x14ac:dyDescent="0.2">
      <c r="B41" s="60">
        <f t="shared" si="0"/>
        <v>6</v>
      </c>
      <c r="C41" s="99" t="str">
        <f>IF($J$10=TRUE,"Are there documented records of all services provided?","Há registros documentados de todo serviço prestado?")</f>
        <v>Há registros documentados de todo serviço prestado?</v>
      </c>
      <c r="D41" s="129"/>
      <c r="E41" s="129"/>
      <c r="F41" s="129"/>
      <c r="G41" s="129"/>
      <c r="H41" s="166"/>
      <c r="I41" s="166"/>
    </row>
    <row r="42" spans="2:9" ht="25.5" x14ac:dyDescent="0.2">
      <c r="B42" s="60">
        <f t="shared" si="0"/>
        <v>7</v>
      </c>
      <c r="C42" s="99" t="str">
        <f>IF($J$10=TRUE,"Is the deadline allowed for performing the service met?","É cumprido o prazo permitido para realização do serviço?")</f>
        <v>É cumprido o prazo permitido para realização do serviço?</v>
      </c>
      <c r="D42" s="127"/>
      <c r="E42" s="127"/>
      <c r="F42" s="127"/>
      <c r="G42" s="127"/>
      <c r="H42" s="166"/>
      <c r="I42" s="166"/>
    </row>
    <row r="43" spans="2:9" ht="25.5" x14ac:dyDescent="0.2">
      <c r="B43" s="60">
        <f t="shared" si="0"/>
        <v>8</v>
      </c>
      <c r="C43" s="99" t="str">
        <f>IF($J$10=TRUE,"Is there professional competence in performing the service?","Há competência profissional na execução do serviço?")</f>
        <v>Há competência profissional na execução do serviço?</v>
      </c>
      <c r="D43" s="127"/>
      <c r="E43" s="127"/>
      <c r="F43" s="127"/>
      <c r="G43" s="127"/>
      <c r="H43" s="166"/>
      <c r="I43" s="166"/>
    </row>
    <row r="44" spans="2:9" ht="38.25" x14ac:dyDescent="0.2">
      <c r="B44" s="60">
        <f t="shared" si="0"/>
        <v>9</v>
      </c>
      <c r="C44" s="99" t="str">
        <f>IF($J$10=TRUE,"Is there sufficient resource use? (people, tools, materials)","Há uso de recursos em quantidade suficiente? (pessoas, ferramentas, materiais)")</f>
        <v>Há uso de recursos em quantidade suficiente? (pessoas, ferramentas, materiais)</v>
      </c>
      <c r="D44" s="129"/>
      <c r="E44" s="129"/>
      <c r="F44" s="129"/>
      <c r="G44" s="129"/>
      <c r="H44" s="166"/>
      <c r="I44" s="166"/>
    </row>
    <row r="45" spans="2:9" ht="51" x14ac:dyDescent="0.2">
      <c r="B45" s="60">
        <f t="shared" si="0"/>
        <v>10</v>
      </c>
      <c r="C45" s="99" t="str">
        <f>IF($J$10=TRUE,"Are the employees of the providing company able to comply with the Contracting Company’s Standards?","Os colaboradores da empresa prestadora estão aptos a cumprir com as Normas da Empresa  contratante?")</f>
        <v>Os colaboradores da empresa prestadora estão aptos a cumprir com as Normas da Empresa  contratante?</v>
      </c>
      <c r="D45" s="129"/>
      <c r="E45" s="129"/>
      <c r="F45" s="129"/>
      <c r="G45" s="129"/>
      <c r="H45" s="166"/>
      <c r="I45" s="166"/>
    </row>
    <row r="46" spans="2:9" ht="38.25" x14ac:dyDescent="0.2">
      <c r="B46" s="60">
        <f t="shared" si="0"/>
        <v>11</v>
      </c>
      <c r="C46" s="99" t="str">
        <f>IF($J$10=TRUE,"Do employee employees dress appropriately for their role?","Os colaboradores prestadores vestem-se adequadamente para o exercício do cargo?")</f>
        <v>Os colaboradores prestadores vestem-se adequadamente para o exercício do cargo?</v>
      </c>
      <c r="D46" s="129"/>
      <c r="E46" s="129"/>
      <c r="F46" s="129"/>
      <c r="G46" s="129"/>
      <c r="H46" s="166"/>
      <c r="I46" s="166"/>
    </row>
    <row r="47" spans="2:9" ht="25.5" x14ac:dyDescent="0.2">
      <c r="B47" s="60">
        <f t="shared" si="0"/>
        <v>12</v>
      </c>
      <c r="C47" s="99" t="str">
        <f>IF($J$10=TRUE,"Do provider employees use PPE when necessary?","Os colaboradores prestadores usam EPI'S quando necessário?")</f>
        <v>Os colaboradores prestadores usam EPI'S quando necessário?</v>
      </c>
      <c r="D47" s="129"/>
      <c r="E47" s="129"/>
      <c r="F47" s="129"/>
      <c r="G47" s="129"/>
      <c r="H47" s="166"/>
      <c r="I47" s="166"/>
    </row>
    <row r="48" spans="2:9" ht="63.75" x14ac:dyDescent="0.2">
      <c r="B48" s="60">
        <f t="shared" si="0"/>
        <v>13</v>
      </c>
      <c r="C48" s="117" t="str">
        <f>IF($J$10=TRUE,"Is the company committed to sending update information when there are any changes to the process/service?","A empresa  está comprometida em enviar informações de atualização quando houver qualquer alteração no processo/e ou serviço?")</f>
        <v>A empresa  está comprometida em enviar informações de atualização quando houver qualquer alteração no processo/e ou serviço?</v>
      </c>
      <c r="D48" s="129"/>
      <c r="E48" s="129"/>
      <c r="F48" s="129"/>
      <c r="G48" s="129"/>
      <c r="H48" s="166"/>
      <c r="I48" s="166"/>
    </row>
    <row r="49" spans="2:9" ht="76.5" x14ac:dyDescent="0.2">
      <c r="B49" s="60">
        <f t="shared" si="0"/>
        <v>14</v>
      </c>
      <c r="C49" s="117" t="str">
        <f>IF($J$10=TRUE,"Does the company develop activities that optimize the use of natural resources (e.g.: control of consumption of water, energy, materials/inputs, etc.)?","A empresa desenvolve atividades que otimiza a utilização de recursos naturais (p.ex.: controle do consumo de água, energia, materiais/insumos, etc.)?")</f>
        <v>A empresa desenvolve atividades que otimiza a utilização de recursos naturais (p.ex.: controle do consumo de água, energia, materiais/insumos, etc.)?</v>
      </c>
      <c r="D49" s="129"/>
      <c r="E49" s="129"/>
      <c r="F49" s="129"/>
      <c r="G49" s="129"/>
      <c r="H49" s="166"/>
      <c r="I49" s="166"/>
    </row>
    <row r="50" spans="2:9" ht="102" x14ac:dyDescent="0.2">
      <c r="B50" s="60">
        <f t="shared" si="0"/>
        <v>15</v>
      </c>
      <c r="C50" s="117" t="str">
        <f>IF($J$10=TRUE,"Does the company maintain activities, linked to production processes and/or services, that minimize impacts on the Environment? (e.g.: control of adequate waste disposal, reduction of noise generation, etc.)","A empresa mantém atividades, ligadas aos processos produtivos e/ou serviços, que minimizem os impactos ao Meio Ambiente? (p.ex.: controle do descarte adequado de resíduos, redução da geração de ruídos, etc.) ")</f>
        <v xml:space="preserve">A empresa mantém atividades, ligadas aos processos produtivos e/ou serviços, que minimizem os impactos ao Meio Ambiente? (p.ex.: controle do descarte adequado de resíduos, redução da geração de ruídos, etc.) </v>
      </c>
      <c r="D50" s="129"/>
      <c r="E50" s="129"/>
      <c r="F50" s="129"/>
      <c r="G50" s="129"/>
      <c r="H50" s="166"/>
      <c r="I50" s="166"/>
    </row>
    <row r="51" spans="2:9" ht="51" x14ac:dyDescent="0.2">
      <c r="B51" s="60">
        <f t="shared" si="0"/>
        <v>16</v>
      </c>
      <c r="C51" s="117" t="str">
        <f>IF($J$10=TRUE,"Supervision of the work performed? (problem detection and execution before service delivery)","Há supervisão do trabalho executado? (detecção e execução de problema antes da entrega do serviço)")</f>
        <v>Há supervisão do trabalho executado? (detecção e execução de problema antes da entrega do serviço)</v>
      </c>
      <c r="D51" s="129"/>
      <c r="E51" s="129"/>
      <c r="F51" s="129"/>
      <c r="G51" s="129"/>
      <c r="H51" s="166"/>
      <c r="I51" s="166"/>
    </row>
    <row r="52" spans="2:9" ht="25.5" x14ac:dyDescent="0.2">
      <c r="B52" s="60">
        <f>B51+1</f>
        <v>17</v>
      </c>
      <c r="C52" s="117" t="str">
        <f>IF($J$10=TRUE,"Is there quality of the materials provided by the Contractor?","Existe qualidade dos materiais fornecidos pela Contratada?")</f>
        <v>Existe qualidade dos materiais fornecidos pela Contratada?</v>
      </c>
      <c r="D52" s="129"/>
      <c r="E52" s="129"/>
      <c r="F52" s="129"/>
      <c r="G52" s="129"/>
      <c r="H52" s="166"/>
      <c r="I52" s="166"/>
    </row>
    <row r="53" spans="2:9" ht="51" x14ac:dyDescent="0.2">
      <c r="B53" s="60">
        <f>B52+1</f>
        <v>18</v>
      </c>
      <c r="C53" s="117" t="str">
        <f>IF($J$10=TRUE,"Are there criteria for selecting suppliers that ensure the quality of the product/service purchased?","Existem critérios para a seleção de fornecedores, que assegurem a qualidade do produto/serviço adquirido?")</f>
        <v>Existem critérios para a seleção de fornecedores, que assegurem a qualidade do produto/serviço adquirido?</v>
      </c>
      <c r="D53" s="129"/>
      <c r="E53" s="129"/>
      <c r="F53" s="129"/>
      <c r="G53" s="129"/>
      <c r="H53" s="166"/>
      <c r="I53" s="166"/>
    </row>
    <row r="55" spans="2:9" ht="26.25" customHeight="1" x14ac:dyDescent="0.2">
      <c r="B55" s="239" t="str">
        <f>IF($J$10=TRUE,"I declare that all information is true and that any changes in the manufacturing process, specification, or any other changes that impact the quality and/or traceability of the product supplied will be duly communicated to ICC Brazil.","Declaro que todas as informações são verídicas e que qualquer alteração no processo de fabricação, especificação, ou quaisquer outras mudanças que impactem na qualidade e/ou rastreabilidade do produto fornecido serão devidamente comunicados a ICC Brazil.")</f>
        <v>Declaro que todas as informações são verídicas e que qualquer alteração no processo de fabricação, especificação, ou quaisquer outras mudanças que impactem na qualidade e/ou rastreabilidade do produto fornecido serão devidamente comunicados a ICC Brazil.</v>
      </c>
      <c r="C55" s="239"/>
      <c r="D55" s="239"/>
      <c r="E55" s="239"/>
      <c r="F55" s="239"/>
      <c r="G55" s="239"/>
      <c r="H55" s="239"/>
      <c r="I55" s="239"/>
    </row>
    <row r="56" spans="2:9" x14ac:dyDescent="0.2">
      <c r="C56" s="48"/>
    </row>
    <row r="57" spans="2:9" ht="25.5" x14ac:dyDescent="0.2">
      <c r="C57" s="125" t="str">
        <f>IF($J$10=TRUE,"Responsible for completing:","Responsável pelo preenchimento:")</f>
        <v>Responsável pelo preenchimento:</v>
      </c>
      <c r="D57" s="166"/>
      <c r="E57" s="166"/>
      <c r="F57" s="166"/>
      <c r="G57" s="166"/>
      <c r="H57" s="166"/>
    </row>
    <row r="58" spans="2:9" x14ac:dyDescent="0.2">
      <c r="C58" s="125" t="str">
        <f>IF($J$10=TRUE,"Job Title:","Cargo:")</f>
        <v>Cargo:</v>
      </c>
      <c r="D58" s="166"/>
      <c r="E58" s="166"/>
      <c r="F58" s="166"/>
      <c r="G58" s="166"/>
      <c r="H58" s="166"/>
    </row>
    <row r="59" spans="2:9" x14ac:dyDescent="0.2">
      <c r="C59" s="125" t="str">
        <f>IF($J$10=TRUE,"Date:","Data:")</f>
        <v>Data:</v>
      </c>
      <c r="D59" s="166"/>
      <c r="E59" s="166"/>
      <c r="F59" s="166"/>
      <c r="G59" s="166"/>
      <c r="H59" s="166"/>
    </row>
    <row r="60" spans="2:9" x14ac:dyDescent="0.2">
      <c r="C60" s="48"/>
    </row>
    <row r="61" spans="2:9" x14ac:dyDescent="0.2">
      <c r="C61" s="48"/>
    </row>
    <row r="62" spans="2:9" x14ac:dyDescent="0.2">
      <c r="C62" s="48"/>
    </row>
    <row r="63" spans="2:9" x14ac:dyDescent="0.2">
      <c r="C63" s="181"/>
      <c r="D63" s="181"/>
      <c r="E63" s="181"/>
      <c r="F63" s="181"/>
      <c r="G63" s="181"/>
      <c r="H63" s="181"/>
    </row>
    <row r="64" spans="2:9" x14ac:dyDescent="0.2">
      <c r="C64" s="175" t="str">
        <f>IF($J$10=TRUE,"Signature","Assinatura")</f>
        <v>Assinatura</v>
      </c>
      <c r="D64" s="176"/>
      <c r="E64" s="176"/>
      <c r="F64" s="176"/>
      <c r="G64" s="176"/>
      <c r="H64" s="176"/>
    </row>
  </sheetData>
  <sheetProtection algorithmName="SHA-512" hashValue="g+pDAeeNXZdopMdqDsT17+QeaQh9lCv7lFVe2Zod0uhU0rCnS0hwliczonQRUhl59WMlo1nubMoBYZDUxSkvIg==" saltValue="JAi6Ocus8w4oEQi4OF3q6A==" spinCount="100000" sheet="1"/>
  <mergeCells count="58">
    <mergeCell ref="H49:I49"/>
    <mergeCell ref="H50:I50"/>
    <mergeCell ref="H51:I51"/>
    <mergeCell ref="H52:I52"/>
    <mergeCell ref="H53:I53"/>
    <mergeCell ref="H44:I44"/>
    <mergeCell ref="H45:I45"/>
    <mergeCell ref="H46:I46"/>
    <mergeCell ref="H47:I47"/>
    <mergeCell ref="H48:I48"/>
    <mergeCell ref="H39:I39"/>
    <mergeCell ref="H40:I40"/>
    <mergeCell ref="H41:I41"/>
    <mergeCell ref="H42:I42"/>
    <mergeCell ref="H43:I43"/>
    <mergeCell ref="H38:I38"/>
    <mergeCell ref="F27:H27"/>
    <mergeCell ref="D21:E21"/>
    <mergeCell ref="D22:E22"/>
    <mergeCell ref="D23:E23"/>
    <mergeCell ref="D24:E24"/>
    <mergeCell ref="D25:E25"/>
    <mergeCell ref="B33:I33"/>
    <mergeCell ref="F21:H21"/>
    <mergeCell ref="F22:H22"/>
    <mergeCell ref="F23:H23"/>
    <mergeCell ref="F24:H24"/>
    <mergeCell ref="F25:H25"/>
    <mergeCell ref="F26:H26"/>
    <mergeCell ref="E6:F6"/>
    <mergeCell ref="B34:I34"/>
    <mergeCell ref="C20:H20"/>
    <mergeCell ref="D30:J30"/>
    <mergeCell ref="H37:I37"/>
    <mergeCell ref="C12:H12"/>
    <mergeCell ref="C13:H13"/>
    <mergeCell ref="D14:H14"/>
    <mergeCell ref="D26:E26"/>
    <mergeCell ref="D27:E27"/>
    <mergeCell ref="B35:C35"/>
    <mergeCell ref="H35:I35"/>
    <mergeCell ref="H36:I36"/>
    <mergeCell ref="D58:H58"/>
    <mergeCell ref="D59:H59"/>
    <mergeCell ref="C63:H63"/>
    <mergeCell ref="C64:H64"/>
    <mergeCell ref="J1:J2"/>
    <mergeCell ref="J3:J4"/>
    <mergeCell ref="C10:H10"/>
    <mergeCell ref="C11:H11"/>
    <mergeCell ref="B55:I55"/>
    <mergeCell ref="D57:H57"/>
    <mergeCell ref="D15:H15"/>
    <mergeCell ref="B14:C14"/>
    <mergeCell ref="B15:C15"/>
    <mergeCell ref="A1:B4"/>
    <mergeCell ref="C1:I4"/>
    <mergeCell ref="B5:H5"/>
  </mergeCells>
  <dataValidations count="1">
    <dataValidation type="list" allowBlank="1" showInputMessage="1" showErrorMessage="1" sqref="D22:E27">
      <formula1>"SIM/YES,NÃO/NO"</formula1>
    </dataValidation>
  </dataValidations>
  <pageMargins left="0.511811024" right="0.511811024" top="0.78740157499999996" bottom="0.78740157499999996" header="0.31496062000000002" footer="0.31496062000000002"/>
  <drawing r:id="rId1"/>
  <legacyDrawing r:id="rId2"/>
  <mc:AlternateContent xmlns:mc="http://schemas.openxmlformats.org/markup-compatibility/2006">
    <mc:Choice Requires="x14">
      <controls>
        <mc:AlternateContent xmlns:mc="http://schemas.openxmlformats.org/markup-compatibility/2006">
          <mc:Choice Requires="x14">
            <control shapeId="44925" r:id="rId3" name="Check Box 1917">
              <controlPr locked="0" defaultSize="0" autoFill="0" autoLine="0" autoPict="0">
                <anchor moveWithCells="1">
                  <from>
                    <xdr:col>3</xdr:col>
                    <xdr:colOff>285750</xdr:colOff>
                    <xdr:row>4</xdr:row>
                    <xdr:rowOff>409575</xdr:rowOff>
                  </from>
                  <to>
                    <xdr:col>5</xdr:col>
                    <xdr:colOff>476250</xdr:colOff>
                    <xdr:row>6</xdr:row>
                    <xdr:rowOff>161925</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13"/>
  <dimension ref="A1:J76"/>
  <sheetViews>
    <sheetView showGridLines="0" zoomScaleNormal="100" workbookViewId="0">
      <selection activeCell="J5" sqref="J5"/>
    </sheetView>
  </sheetViews>
  <sheetFormatPr defaultRowHeight="12.75" x14ac:dyDescent="0.2"/>
  <cols>
    <col min="1" max="1" width="4.5703125" customWidth="1"/>
    <col min="2" max="2" width="16.7109375" customWidth="1"/>
    <col min="3" max="3" width="32.28515625" customWidth="1"/>
    <col min="4" max="5" width="7.7109375" customWidth="1"/>
    <col min="6" max="6" width="20.7109375" customWidth="1"/>
    <col min="7" max="7" width="10.85546875" customWidth="1"/>
    <col min="8" max="8" width="20.7109375" customWidth="1"/>
    <col min="9" max="9" width="18.7109375" customWidth="1"/>
    <col min="10" max="10" width="15.42578125" customWidth="1"/>
  </cols>
  <sheetData>
    <row r="1" spans="1:10" ht="12.75" customHeight="1" x14ac:dyDescent="0.2">
      <c r="A1" s="195"/>
      <c r="B1" s="196"/>
      <c r="C1" s="193" t="s">
        <v>41</v>
      </c>
      <c r="D1" s="159"/>
      <c r="E1" s="159"/>
      <c r="F1" s="159"/>
      <c r="G1" s="159"/>
      <c r="H1" s="159"/>
      <c r="I1" s="160"/>
      <c r="J1" s="147" t="s">
        <v>42</v>
      </c>
    </row>
    <row r="2" spans="1:10" ht="12.75" customHeight="1" x14ac:dyDescent="0.2">
      <c r="A2" s="197"/>
      <c r="B2" s="198"/>
      <c r="C2" s="193"/>
      <c r="D2" s="159"/>
      <c r="E2" s="159"/>
      <c r="F2" s="159"/>
      <c r="G2" s="159"/>
      <c r="H2" s="159"/>
      <c r="I2" s="160"/>
      <c r="J2" s="148"/>
    </row>
    <row r="3" spans="1:10" ht="12.75" customHeight="1" x14ac:dyDescent="0.2">
      <c r="A3" s="197"/>
      <c r="B3" s="198"/>
      <c r="C3" s="193"/>
      <c r="D3" s="159"/>
      <c r="E3" s="159"/>
      <c r="F3" s="159"/>
      <c r="G3" s="159"/>
      <c r="H3" s="159"/>
      <c r="I3" s="160"/>
      <c r="J3" s="148" t="s">
        <v>80</v>
      </c>
    </row>
    <row r="4" spans="1:10" ht="13.5" customHeight="1" thickBot="1" x14ac:dyDescent="0.25">
      <c r="A4" s="199"/>
      <c r="B4" s="200"/>
      <c r="C4" s="194"/>
      <c r="D4" s="161"/>
      <c r="E4" s="161"/>
      <c r="F4" s="161"/>
      <c r="G4" s="161"/>
      <c r="H4" s="161"/>
      <c r="I4" s="162"/>
      <c r="J4" s="149"/>
    </row>
    <row r="5" spans="1:10" ht="25.5" customHeight="1" x14ac:dyDescent="0.2">
      <c r="B5" s="203" t="s">
        <v>43</v>
      </c>
      <c r="C5" s="203"/>
      <c r="D5" s="203"/>
      <c r="E5" s="203"/>
      <c r="F5" s="203"/>
      <c r="G5" s="203"/>
      <c r="H5" s="203"/>
    </row>
    <row r="6" spans="1:10" x14ac:dyDescent="0.2">
      <c r="B6" s="10"/>
      <c r="C6" s="111"/>
      <c r="D6" s="10"/>
      <c r="E6" s="214"/>
      <c r="F6" s="214"/>
    </row>
    <row r="7" spans="1:10" x14ac:dyDescent="0.2">
      <c r="B7" s="10"/>
      <c r="C7" s="10"/>
    </row>
    <row r="8" spans="1:10" ht="11.25" customHeight="1" x14ac:dyDescent="0.2">
      <c r="B8" s="19"/>
      <c r="C8" s="20"/>
      <c r="D8" s="21"/>
      <c r="E8" s="21"/>
      <c r="F8" s="21"/>
      <c r="G8" s="21"/>
      <c r="H8" s="21"/>
      <c r="I8" s="22"/>
    </row>
    <row r="9" spans="1:10" x14ac:dyDescent="0.2">
      <c r="B9" s="23"/>
      <c r="C9" s="10"/>
      <c r="I9" s="24"/>
    </row>
    <row r="10" spans="1:10" ht="18" customHeight="1" x14ac:dyDescent="0.25">
      <c r="B10" s="25" t="str">
        <f>IF($J$10=TRUE,"Corporate Name:","Razão Social:")</f>
        <v>Razão Social:</v>
      </c>
      <c r="C10" s="204"/>
      <c r="D10" s="204"/>
      <c r="E10" s="204"/>
      <c r="F10" s="204"/>
      <c r="G10" s="204"/>
      <c r="H10" s="204"/>
      <c r="I10" s="26"/>
      <c r="J10" s="128" t="b">
        <v>0</v>
      </c>
    </row>
    <row r="11" spans="1:10" ht="18" customHeight="1" x14ac:dyDescent="0.25">
      <c r="B11" s="25" t="str">
        <f>IF($J$10=TRUE,"Fantasy Name:","Nome Fantasia:")</f>
        <v>Nome Fantasia:</v>
      </c>
      <c r="C11" s="204"/>
      <c r="D11" s="204"/>
      <c r="E11" s="204"/>
      <c r="F11" s="204"/>
      <c r="G11" s="204"/>
      <c r="H11" s="204"/>
      <c r="I11" s="24"/>
    </row>
    <row r="12" spans="1:10" ht="18" customHeight="1" x14ac:dyDescent="0.25">
      <c r="B12" s="25" t="str">
        <f>IF($J$10=TRUE,"Tax Code:","CNPJ:")</f>
        <v>CNPJ:</v>
      </c>
      <c r="C12" s="204"/>
      <c r="D12" s="204"/>
      <c r="E12" s="204"/>
      <c r="F12" s="204"/>
      <c r="G12" s="204"/>
      <c r="H12" s="204"/>
      <c r="I12" s="26"/>
    </row>
    <row r="13" spans="1:10" ht="18" customHeight="1" x14ac:dyDescent="0.25">
      <c r="B13" s="25" t="str">
        <f>IF($J$10=TRUE,"Adress:","Endereço:")</f>
        <v>Endereço:</v>
      </c>
      <c r="C13" s="204"/>
      <c r="D13" s="204"/>
      <c r="E13" s="204"/>
      <c r="F13" s="204"/>
      <c r="G13" s="204"/>
      <c r="H13" s="204"/>
      <c r="I13" s="27"/>
    </row>
    <row r="14" spans="1:10" ht="18" customHeight="1" x14ac:dyDescent="0.2">
      <c r="B14" s="164" t="str">
        <f>IF($J$10=TRUE,"Service supplied to ICC Brazil:","Serviço prestado à ICC Brasil:")</f>
        <v>Serviço prestado à ICC Brasil:</v>
      </c>
      <c r="C14" s="165"/>
      <c r="D14" s="216"/>
      <c r="E14" s="216"/>
      <c r="F14" s="216"/>
      <c r="G14" s="216"/>
      <c r="H14" s="216"/>
      <c r="I14" s="24"/>
    </row>
    <row r="15" spans="1:10" ht="18" customHeight="1" x14ac:dyDescent="0.2">
      <c r="B15" s="164" t="str">
        <f>IF($J$10=TRUE,"CEO:","Responsável Técnico:")</f>
        <v>Responsável Técnico:</v>
      </c>
      <c r="C15" s="165"/>
      <c r="D15" s="216"/>
      <c r="E15" s="216"/>
      <c r="F15" s="216"/>
      <c r="G15" s="216"/>
      <c r="H15" s="216"/>
      <c r="I15" s="24"/>
    </row>
    <row r="16" spans="1:10" x14ac:dyDescent="0.2">
      <c r="B16" s="28"/>
      <c r="C16" s="29"/>
      <c r="D16" s="30"/>
      <c r="E16" s="30"/>
      <c r="F16" s="30"/>
      <c r="G16" s="30"/>
      <c r="H16" s="30"/>
      <c r="I16" s="31"/>
    </row>
    <row r="17" spans="2:10" x14ac:dyDescent="0.2">
      <c r="B17" s="16"/>
      <c r="C17" s="16"/>
    </row>
    <row r="18" spans="2:10" x14ac:dyDescent="0.2">
      <c r="B18" s="16"/>
      <c r="C18" s="16"/>
    </row>
    <row r="19" spans="2:10" x14ac:dyDescent="0.2">
      <c r="B19" s="33"/>
      <c r="C19" s="34"/>
      <c r="D19" s="21"/>
      <c r="E19" s="21"/>
      <c r="F19" s="21"/>
      <c r="G19" s="21"/>
      <c r="H19" s="21"/>
      <c r="I19" s="22"/>
    </row>
    <row r="20" spans="2:10" x14ac:dyDescent="0.2">
      <c r="B20" s="35"/>
      <c r="C20" s="205" t="str">
        <f>IF($J$10=TRUE,"Please select the submitted documents below","Selecione abaixo os documentos enviados.")</f>
        <v>Selecione abaixo os documentos enviados.</v>
      </c>
      <c r="D20" s="205"/>
      <c r="E20" s="205"/>
      <c r="F20" s="205"/>
      <c r="G20" s="205"/>
      <c r="H20" s="205"/>
      <c r="I20" s="24"/>
    </row>
    <row r="21" spans="2:10" x14ac:dyDescent="0.2">
      <c r="B21" s="35"/>
      <c r="C21" s="44" t="str">
        <f>IF($J$10=TRUE,"REQUIREMENT","REQUISITO")</f>
        <v>REQUISITO</v>
      </c>
      <c r="D21" s="206" t="str">
        <f>IF($J$10=TRUE,"SENT","ENVIADO")</f>
        <v>ENVIADO</v>
      </c>
      <c r="E21" s="206"/>
      <c r="F21" s="187" t="str">
        <f>IF($J$10=TRUE,"DOCUMENTS","DOCUMENTOS")</f>
        <v>DOCUMENTOS</v>
      </c>
      <c r="G21" s="188"/>
      <c r="H21" s="189"/>
      <c r="I21" s="24"/>
    </row>
    <row r="22" spans="2:10" x14ac:dyDescent="0.2">
      <c r="B22" s="35"/>
      <c r="C22" s="47" t="str">
        <f>IF($J$10=TRUE,"Mandatory","Obrigatório")</f>
        <v>Obrigatório</v>
      </c>
      <c r="D22" s="201"/>
      <c r="E22" s="201"/>
      <c r="F22" s="221" t="str">
        <f>IF($J$10=TRUE,"Social contract or last amendment","Contrato social ou última alteração")</f>
        <v>Contrato social ou última alteração</v>
      </c>
      <c r="G22" s="222"/>
      <c r="H22" s="223"/>
      <c r="I22" s="24"/>
    </row>
    <row r="23" spans="2:10" x14ac:dyDescent="0.2">
      <c r="B23" s="36"/>
      <c r="C23" s="47" t="str">
        <f>IF($J$10=TRUE,"Mandatory","Obrigatório")</f>
        <v>Obrigatório</v>
      </c>
      <c r="D23" s="201"/>
      <c r="E23" s="201"/>
      <c r="F23" s="221" t="str">
        <f>IF($J$10=TRUE,"Current insurance policy","Apólice de seguro vigente")</f>
        <v>Apólice de seguro vigente</v>
      </c>
      <c r="G23" s="222"/>
      <c r="H23" s="223"/>
      <c r="I23" s="24"/>
    </row>
    <row r="24" spans="2:10" x14ac:dyDescent="0.2">
      <c r="B24" s="37"/>
      <c r="C24" s="47" t="str">
        <f>IF($J$10=TRUE,"","Obrigatório")</f>
        <v>Obrigatório</v>
      </c>
      <c r="D24" s="201"/>
      <c r="E24" s="201"/>
      <c r="F24" s="221" t="str">
        <f>IF($J$10=TRUE,"","Cartão CNPJ")</f>
        <v>Cartão CNPJ</v>
      </c>
      <c r="G24" s="222"/>
      <c r="H24" s="223"/>
      <c r="I24" s="38"/>
      <c r="J24" s="32"/>
    </row>
    <row r="25" spans="2:10" x14ac:dyDescent="0.2">
      <c r="B25" s="37"/>
      <c r="C25" s="47" t="str">
        <f>IF($J$10=TRUE,"","Obrigatório")</f>
        <v>Obrigatório</v>
      </c>
      <c r="D25" s="201"/>
      <c r="E25" s="201"/>
      <c r="F25" s="221" t="str">
        <f>IF($J$10=TRUE,"","Documento do Sintegra")</f>
        <v>Documento do Sintegra</v>
      </c>
      <c r="G25" s="222"/>
      <c r="H25" s="223"/>
      <c r="I25" s="38"/>
      <c r="J25" s="32"/>
    </row>
    <row r="26" spans="2:10" x14ac:dyDescent="0.2">
      <c r="B26" s="36"/>
      <c r="C26" s="47" t="str">
        <f>IF($J$10=TRUE,"","Obrigatório")</f>
        <v>Obrigatório</v>
      </c>
      <c r="D26" s="201"/>
      <c r="E26" s="201"/>
      <c r="F26" s="221" t="str">
        <f>IF($J$10=TRUE,"","Comprovante de Registro RNTRC/ANTT")</f>
        <v>Comprovante de Registro RNTRC/ANTT</v>
      </c>
      <c r="G26" s="222"/>
      <c r="H26" s="223"/>
      <c r="I26" s="24"/>
    </row>
    <row r="27" spans="2:10" x14ac:dyDescent="0.2">
      <c r="B27" s="37"/>
      <c r="C27" s="46" t="str">
        <f>IF($J$10=TRUE,"Differencial","Diferencial")</f>
        <v>Diferencial</v>
      </c>
      <c r="D27" s="201"/>
      <c r="E27" s="201"/>
      <c r="F27" s="221" t="str">
        <f>IF($J$10=TRUE,"Certifications: ISO 9000, among others","Certificações: ISO 9000, entre outros")</f>
        <v>Certificações: ISO 9000, entre outros</v>
      </c>
      <c r="G27" s="222"/>
      <c r="H27" s="223"/>
      <c r="I27" s="38"/>
      <c r="J27" s="32"/>
    </row>
    <row r="28" spans="2:10" x14ac:dyDescent="0.2">
      <c r="B28" s="36"/>
      <c r="I28" s="24"/>
    </row>
    <row r="29" spans="2:10" x14ac:dyDescent="0.2">
      <c r="B29" s="39"/>
      <c r="C29" s="30"/>
      <c r="D29" s="30"/>
      <c r="E29" s="30"/>
      <c r="F29" s="30"/>
      <c r="G29" s="30"/>
      <c r="H29" s="30"/>
      <c r="I29" s="31"/>
    </row>
    <row r="31" spans="2:10" x14ac:dyDescent="0.2">
      <c r="D31" s="154"/>
      <c r="E31" s="154"/>
      <c r="F31" s="154"/>
      <c r="G31" s="154"/>
      <c r="H31" s="154"/>
      <c r="I31" s="154"/>
      <c r="J31" s="139"/>
    </row>
    <row r="32" spans="2:10" x14ac:dyDescent="0.2">
      <c r="B32" s="41"/>
      <c r="C32" s="21"/>
      <c r="D32" s="42"/>
      <c r="E32" s="42"/>
      <c r="F32" s="42"/>
      <c r="G32" s="42"/>
      <c r="H32" s="42"/>
      <c r="I32" s="43"/>
      <c r="J32" s="40"/>
    </row>
    <row r="33" spans="2:9" x14ac:dyDescent="0.2">
      <c r="B33" s="36"/>
      <c r="I33" s="24"/>
    </row>
    <row r="34" spans="2:9" x14ac:dyDescent="0.2">
      <c r="B34" s="236" t="str">
        <f>IF($J$10=TRUE,"Read each statement and mark with an X in the column according to the company's service in the item.","Por favor, leia cada enunciado e assinale com um X na coluna correspondente ao atendimento da empresa para o respectivo item.")</f>
        <v>Por favor, leia cada enunciado e assinale com um X na coluna correspondente ao atendimento da empresa para o respectivo item.</v>
      </c>
      <c r="C34" s="237"/>
      <c r="D34" s="237"/>
      <c r="E34" s="237"/>
      <c r="F34" s="237"/>
      <c r="G34" s="237"/>
      <c r="H34" s="237"/>
      <c r="I34" s="238"/>
    </row>
    <row r="35" spans="2:9" ht="15.75" x14ac:dyDescent="0.2">
      <c r="B35" s="167" t="str">
        <f>IF($J$10=TRUE,"QUALITY AND FOOD SAFETY MANAGEMENT SYSTEM","SISTEMA DE GESTÃO DA QUALIDADE E SEGURANÇA DE ALIMENTOS")</f>
        <v>SISTEMA DE GESTÃO DA QUALIDADE E SEGURANÇA DE ALIMENTOS</v>
      </c>
      <c r="C35" s="168"/>
      <c r="D35" s="168"/>
      <c r="E35" s="168"/>
      <c r="F35" s="168"/>
      <c r="G35" s="168"/>
      <c r="H35" s="168"/>
      <c r="I35" s="169"/>
    </row>
    <row r="36" spans="2:9" ht="37.5" customHeight="1" x14ac:dyDescent="0.2">
      <c r="B36" s="170" t="str">
        <f>IF($J$10=TRUE,"Items (Answer the question with an X. If the answer is NA, please justify the answer at the Observation field.","Itens (Selecione a resposta com X) / Se NA, justificar em Observações")</f>
        <v>Itens (Selecione a resposta com X) / Se NA, justificar em Observações</v>
      </c>
      <c r="C36" s="171"/>
      <c r="D36" s="114" t="str">
        <f>IF($J$10=TRUE,"Yes","Sim")</f>
        <v>Sim</v>
      </c>
      <c r="E36" s="114" t="str">
        <f>IF($J$10=TRUE,"No","Não")</f>
        <v>Não</v>
      </c>
      <c r="F36" s="114" t="str">
        <f>IF($J$10=TRUE,"In progress","Em andamento")</f>
        <v>Em andamento</v>
      </c>
      <c r="G36" s="113" t="str">
        <f>IF($J$10=TRUE,"NA (not applicable)","NA")</f>
        <v>NA</v>
      </c>
      <c r="H36" s="172" t="str">
        <f>IF($J$10=TRUE,"Observation","Observações")</f>
        <v>Observações</v>
      </c>
      <c r="I36" s="173"/>
    </row>
    <row r="37" spans="2:9" ht="45" customHeight="1" x14ac:dyDescent="0.2">
      <c r="B37" s="99">
        <v>1</v>
      </c>
      <c r="C37" s="99" t="str">
        <f>IF($J$10=TRUE,"The loading compartments are clean, dry, empty and free of undersible odours?","Os veículos são limpos, secos e ausentes de odores indesejáveis?")</f>
        <v>Os veículos são limpos, secos e ausentes de odores indesejáveis?</v>
      </c>
      <c r="D37" s="132"/>
      <c r="E37" s="132"/>
      <c r="F37" s="132"/>
      <c r="G37" s="132"/>
      <c r="H37" s="201"/>
      <c r="I37" s="201"/>
    </row>
    <row r="38" spans="2:9" ht="48" customHeight="1" x14ac:dyDescent="0.2">
      <c r="B38" s="99">
        <v>2</v>
      </c>
      <c r="C38" s="99" t="str">
        <f>IF($J$10=TRUE,"The loading compartments are absent of elements that may have a negative impact on the safety of the products to be loaded, such as residues of previous loads and/or impurities?","Os veículos são ausentes de elementos que possam ter impacto negativo nos produtos?")</f>
        <v>Os veículos são ausentes de elementos que possam ter impacto negativo nos produtos?</v>
      </c>
      <c r="D38" s="132"/>
      <c r="E38" s="132"/>
      <c r="F38" s="132"/>
      <c r="G38" s="132"/>
      <c r="H38" s="201"/>
      <c r="I38" s="201"/>
    </row>
    <row r="39" spans="2:9" ht="36" customHeight="1" x14ac:dyDescent="0.2">
      <c r="B39" s="99">
        <v>3</v>
      </c>
      <c r="C39" s="99" t="str">
        <f>IF($J$10=TRUE,"The loading compartments are absent of insects or pests?","Os veículos são ausentes de insetos ou pragas?")</f>
        <v>Os veículos são ausentes de insetos ou pragas?</v>
      </c>
      <c r="D39" s="132"/>
      <c r="E39" s="132"/>
      <c r="F39" s="132"/>
      <c r="G39" s="132"/>
      <c r="H39" s="201"/>
      <c r="I39" s="201"/>
    </row>
    <row r="40" spans="2:9" ht="36" customHeight="1" x14ac:dyDescent="0.2">
      <c r="B40" s="99">
        <v>4</v>
      </c>
      <c r="C40" s="99" t="str">
        <f>IF($J$10=TRUE,"The loading compartments are closable and in good condition?","Os veículos estão integros e estão em boas condições?")</f>
        <v>Os veículos estão integros e estão em boas condições?</v>
      </c>
      <c r="D40" s="132"/>
      <c r="E40" s="132"/>
      <c r="F40" s="132"/>
      <c r="G40" s="132"/>
      <c r="H40" s="201"/>
      <c r="I40" s="201"/>
    </row>
    <row r="41" spans="2:9" ht="36" customHeight="1" x14ac:dyDescent="0.2">
      <c r="B41" s="99">
        <v>5</v>
      </c>
      <c r="C41" s="99" t="str">
        <f>IF($J$10=TRUE,"The loading compartments are free from residuos of previous loads?","Os veículos são livres de resíduos de carregamentos anteriores?")</f>
        <v>Os veículos são livres de resíduos de carregamentos anteriores?</v>
      </c>
      <c r="D41" s="132"/>
      <c r="E41" s="132"/>
      <c r="F41" s="132"/>
      <c r="G41" s="132"/>
      <c r="H41" s="201"/>
      <c r="I41" s="201"/>
    </row>
    <row r="42" spans="2:9" ht="78.75" customHeight="1" x14ac:dyDescent="0.2">
      <c r="B42" s="99">
        <v>6</v>
      </c>
      <c r="C42" s="99" t="str">
        <f>IF($J$10=TRUE,"Does the company mantain registration of the previous three loads (including cleaning operations) in the loading compartment provided with date and signature of the company responsible for the transport of feed?","A empresa mantém registo das três cargas anteriores (incluindo operações de limpeza) no compartimento de carga fornecido com data e assinatura da empresa responsável pelo transporte da ração?")</f>
        <v>A empresa mantém registo das três cargas anteriores (incluindo operações de limpeza) no compartimento de carga fornecido com data e assinatura da empresa responsável pelo transporte da ração?</v>
      </c>
      <c r="D42" s="132"/>
      <c r="E42" s="132"/>
      <c r="F42" s="132"/>
      <c r="G42" s="132"/>
      <c r="H42" s="201"/>
      <c r="I42" s="201"/>
    </row>
    <row r="43" spans="2:9" ht="45" customHeight="1" x14ac:dyDescent="0.2">
      <c r="B43" s="99">
        <v>7</v>
      </c>
      <c r="C43" s="99" t="str">
        <f>IF($J$10=TRUE,"Does the company maintain documentation related to the successive transports?","A empresa mantém registro de todos os carregamentos efetuados, incluindo limpeza das carretas?")</f>
        <v>A empresa mantém registro de todos os carregamentos efetuados, incluindo limpeza das carretas?</v>
      </c>
      <c r="D43" s="132"/>
      <c r="E43" s="132"/>
      <c r="F43" s="132"/>
      <c r="G43" s="132"/>
      <c r="H43" s="201"/>
      <c r="I43" s="201"/>
    </row>
    <row r="44" spans="2:9" ht="52.5" customHeight="1" x14ac:dyDescent="0.2">
      <c r="B44" s="99">
        <v>8</v>
      </c>
      <c r="C44" s="99" t="str">
        <f>IF($J$10=TRUE,"Does the company maintain documentation related to cleaning operations between successive transports?","A empresa mantém documentação relacionada à operações de limpeza entre os carregamentos?")</f>
        <v>A empresa mantém documentação relacionada à operações de limpeza entre os carregamentos?</v>
      </c>
      <c r="D44" s="132"/>
      <c r="E44" s="132"/>
      <c r="F44" s="132"/>
      <c r="G44" s="132"/>
      <c r="H44" s="201"/>
      <c r="I44" s="201"/>
    </row>
    <row r="45" spans="2:9" ht="41.25" customHeight="1" x14ac:dyDescent="0.2">
      <c r="B45" s="99">
        <v>9</v>
      </c>
      <c r="C45" s="99" t="str">
        <f>IF($J$10=TRUE,"Does the company maintain documentation related to inspections and checks?","A empresa mantém documentação relacionada a verificações e checkagem das carretas?")</f>
        <v>A empresa mantém documentação relacionada a verificações e checkagem das carretas?</v>
      </c>
      <c r="D45" s="132"/>
      <c r="E45" s="132"/>
      <c r="F45" s="132"/>
      <c r="G45" s="132"/>
      <c r="H45" s="201"/>
      <c r="I45" s="201"/>
    </row>
    <row r="46" spans="2:9" ht="45" customHeight="1" x14ac:dyDescent="0.2">
      <c r="B46" s="99">
        <v>10</v>
      </c>
      <c r="C46" s="99" t="str">
        <f>IF($J$10=TRUE,"Does the company have written procedures related cleaning methods and frequency of cleaning?","A empresa mantém procedimentos escritos especificando métodos de limpeza e frequências?")</f>
        <v>A empresa mantém procedimentos escritos especificando métodos de limpeza e frequências?</v>
      </c>
      <c r="D46" s="132"/>
      <c r="E46" s="132"/>
      <c r="F46" s="132"/>
      <c r="G46" s="132"/>
      <c r="H46" s="201"/>
      <c r="I46" s="201"/>
    </row>
    <row r="47" spans="2:9" ht="48.75" customHeight="1" x14ac:dyDescent="0.2">
      <c r="B47" s="99">
        <v>11</v>
      </c>
      <c r="C47" s="99" t="str">
        <f>IF($J$10=TRUE,"The loading compartments are made from materials that can be cleaned and prevent contamination of feed?","As carretas são feitas de materiais que possam ser limpos e prevenir contaminação do produto?")</f>
        <v>As carretas são feitas de materiais que possam ser limpos e prevenir contaminação do produto?</v>
      </c>
      <c r="D47" s="132"/>
      <c r="E47" s="132"/>
      <c r="F47" s="132"/>
      <c r="G47" s="132"/>
      <c r="H47" s="201"/>
      <c r="I47" s="201"/>
    </row>
    <row r="48" spans="2:9" ht="40.5" customHeight="1" x14ac:dyDescent="0.2">
      <c r="B48" s="99">
        <v>12</v>
      </c>
      <c r="C48" s="99" t="str">
        <f>IF($J$10=TRUE,"Do the loading compartments are not accessible to unauthorized persons?","Os compartimentos de carga possuem meios que impeçam acesso de pessoas não autorizadas?")</f>
        <v>Os compartimentos de carga possuem meios que impeçam acesso de pessoas não autorizadas?</v>
      </c>
      <c r="D48" s="132"/>
      <c r="E48" s="132"/>
      <c r="F48" s="132"/>
      <c r="G48" s="132"/>
      <c r="H48" s="201"/>
      <c r="I48" s="201"/>
    </row>
    <row r="49" spans="2:9" ht="36" customHeight="1" x14ac:dyDescent="0.2">
      <c r="B49" s="99">
        <v>13</v>
      </c>
      <c r="C49" s="99" t="str">
        <f>IF($J$10=TRUE,"Does the company mantain the legally-required transport documents?","A empresa mantém documentação legal requerida à transportadoras?")</f>
        <v>A empresa mantém documentação legal requerida à transportadoras?</v>
      </c>
      <c r="D49" s="132"/>
      <c r="E49" s="132"/>
      <c r="F49" s="132"/>
      <c r="G49" s="132"/>
      <c r="H49" s="201"/>
      <c r="I49" s="201"/>
    </row>
    <row r="50" spans="2:9" ht="66" customHeight="1" x14ac:dyDescent="0.2">
      <c r="B50" s="99">
        <v>14</v>
      </c>
      <c r="C50" s="99" t="str">
        <f>IF($J$10=TRUE,"Do the company responsible for the transport of feed is able to demonstrate that no forbidden loads have been transported in the loading compartment?","A empresa responsável pelo transporte de ração consegue demonstrar que não foram transportadas cargas proibidas no compartimento de carga?")</f>
        <v>A empresa responsável pelo transporte de ração consegue demonstrar que não foram transportadas cargas proibidas no compartimento de carga?</v>
      </c>
      <c r="D50" s="132"/>
      <c r="E50" s="132"/>
      <c r="F50" s="132"/>
      <c r="G50" s="132"/>
      <c r="H50" s="201"/>
      <c r="I50" s="201"/>
    </row>
    <row r="51" spans="2:9" ht="36" customHeight="1" x14ac:dyDescent="0.2">
      <c r="B51" s="99">
        <v>15</v>
      </c>
      <c r="C51" s="99" t="str">
        <f>IF($J$10=TRUE,"Do the loading compartments enable good hygienic practices?","Os compartimentos de carga permitem boas práticas de higiene?")</f>
        <v>Os compartimentos de carga permitem boas práticas de higiene?</v>
      </c>
      <c r="D51" s="132"/>
      <c r="E51" s="132"/>
      <c r="F51" s="132"/>
      <c r="G51" s="132"/>
      <c r="H51" s="201"/>
      <c r="I51" s="201"/>
    </row>
    <row r="52" spans="2:9" ht="15" customHeight="1" x14ac:dyDescent="0.2">
      <c r="B52" s="167" t="str">
        <f>IF($J$10=TRUE,"Organizational Data","Dados Organizacionais")</f>
        <v>Dados Organizacionais</v>
      </c>
      <c r="C52" s="168"/>
      <c r="D52" s="168"/>
      <c r="E52" s="168"/>
      <c r="F52" s="168"/>
      <c r="G52" s="168"/>
      <c r="H52" s="168"/>
      <c r="I52" s="169"/>
    </row>
    <row r="53" spans="2:9" ht="36" customHeight="1" x14ac:dyDescent="0.2">
      <c r="B53" s="170" t="str">
        <f>IF($J$10=TRUE,"Items (Answer the question with an X. If the answer is NA, please justify the answer at the Observation field.","Itens (Selecione a resposta com X) / Se NA, justificar em Observações")</f>
        <v>Itens (Selecione a resposta com X) / Se NA, justificar em Observações</v>
      </c>
      <c r="C53" s="171"/>
      <c r="D53" s="114" t="str">
        <f>IF($J$10=TRUE,"Yes","Sim")</f>
        <v>Sim</v>
      </c>
      <c r="E53" s="114" t="str">
        <f>IF($J$10=TRUE,"No","Não")</f>
        <v>Não</v>
      </c>
      <c r="F53" s="114" t="str">
        <f>IF($J$10=TRUE,"In progress","Em andamento")</f>
        <v>Em andamento</v>
      </c>
      <c r="G53" s="113" t="str">
        <f>IF($J$10=TRUE,"NA (not applicable)","NA")</f>
        <v>NA</v>
      </c>
      <c r="H53" s="172" t="str">
        <f>IF($J$10=TRUE,"Observation","Observações")</f>
        <v>Observações</v>
      </c>
      <c r="I53" s="173"/>
    </row>
    <row r="54" spans="2:9" ht="25.5" x14ac:dyDescent="0.2">
      <c r="B54" s="60">
        <v>16</v>
      </c>
      <c r="C54" s="99" t="str">
        <f>IF($J$10=TRUE,"What regions does the carrier service?","Quais regiões a transportadora atende?")</f>
        <v>Quais regiões a transportadora atende?</v>
      </c>
      <c r="D54" s="132"/>
      <c r="E54" s="132"/>
      <c r="F54" s="132"/>
      <c r="G54" s="132"/>
      <c r="H54" s="242"/>
      <c r="I54" s="243"/>
    </row>
    <row r="55" spans="2:9" ht="25.5" x14ac:dyDescent="0.2">
      <c r="B55" s="60">
        <v>17</v>
      </c>
      <c r="C55" s="99" t="str">
        <f>IF($J$10=TRUE,"What is the load profile? Closed or fractional?","Qual é o perfil da carga? Fechada ou fracionada?")</f>
        <v>Qual é o perfil da carga? Fechada ou fracionada?</v>
      </c>
      <c r="D55" s="132"/>
      <c r="E55" s="132"/>
      <c r="F55" s="132"/>
      <c r="G55" s="132"/>
      <c r="H55" s="242"/>
      <c r="I55" s="243"/>
    </row>
    <row r="56" spans="2:9" ht="30.75" customHeight="1" x14ac:dyDescent="0.2">
      <c r="B56" s="60">
        <v>18</v>
      </c>
      <c r="C56" s="99" t="str">
        <f>IF($J$10=TRUE,"Does the company have its own vehicle?","A empresa possui veículo próprio?")</f>
        <v>A empresa possui veículo próprio?</v>
      </c>
      <c r="D56" s="132"/>
      <c r="E56" s="132"/>
      <c r="F56" s="132"/>
      <c r="G56" s="132"/>
      <c r="H56" s="242"/>
      <c r="I56" s="243"/>
    </row>
    <row r="57" spans="2:9" ht="33.75" customHeight="1" x14ac:dyDescent="0.2">
      <c r="B57" s="60">
        <v>19</v>
      </c>
      <c r="C57" s="99" t="str">
        <f>IF($J$10=TRUE,"Does the company have a third party vehicle?","A empresa possui veículo terceiro?")</f>
        <v>A empresa possui veículo terceiro?</v>
      </c>
      <c r="D57" s="132"/>
      <c r="E57" s="132"/>
      <c r="F57" s="132"/>
      <c r="G57" s="132"/>
      <c r="H57" s="242"/>
      <c r="I57" s="243"/>
    </row>
    <row r="58" spans="2:9" ht="25.5" x14ac:dyDescent="0.2">
      <c r="B58" s="60">
        <v>20</v>
      </c>
      <c r="C58" s="99" t="str">
        <f>IF($J$10=TRUE,"Does the carrier have a cargo tracking service?","A transportadora possui serviço de rastreamento de carga?")</f>
        <v>A transportadora possui serviço de rastreamento de carga?</v>
      </c>
      <c r="D58" s="132"/>
      <c r="E58" s="132"/>
      <c r="F58" s="132"/>
      <c r="G58" s="132"/>
      <c r="H58" s="201"/>
      <c r="I58" s="201"/>
    </row>
    <row r="59" spans="2:9" ht="25.5" x14ac:dyDescent="0.2">
      <c r="B59" s="60">
        <v>21</v>
      </c>
      <c r="C59" s="99" t="str">
        <f>IF($J$10=TRUE,"Does the transportation company work with a risk manager?","A transportadora trabalha com gerenciadora de risco?")</f>
        <v>A transportadora trabalha com gerenciadora de risco?</v>
      </c>
      <c r="D59" s="132"/>
      <c r="E59" s="132"/>
      <c r="F59" s="132"/>
      <c r="G59" s="132"/>
      <c r="H59" s="201"/>
      <c r="I59" s="201"/>
    </row>
    <row r="60" spans="2:9" x14ac:dyDescent="0.2">
      <c r="B60" s="48"/>
      <c r="C60" s="48"/>
    </row>
    <row r="61" spans="2:9" ht="34.5" customHeight="1" x14ac:dyDescent="0.2">
      <c r="B61" s="239" t="str">
        <f>IF($J$10=TRUE,"I declare that all information is true and that any changes in the manufacturing process, specification, or any other changes that impact the quality and/or traceability of the product supplied will be duly communicated to ICC Brazil.","Declaro que todas as informações são verídicas e que qualquer alteração no processo de fabricação, especificação, ou quaisquer outras mudanças que impactem na qualidade e/ou rastreabilidade do produto fornecido serão devidamente comunicados a ICC Brazil.")</f>
        <v>Declaro que todas as informações são verídicas e que qualquer alteração no processo de fabricação, especificação, ou quaisquer outras mudanças que impactem na qualidade e/ou rastreabilidade do produto fornecido serão devidamente comunicados a ICC Brazil.</v>
      </c>
      <c r="C61" s="239"/>
      <c r="D61" s="239"/>
      <c r="E61" s="239"/>
      <c r="F61" s="239"/>
      <c r="G61" s="239"/>
      <c r="H61" s="239"/>
      <c r="I61" s="239"/>
    </row>
    <row r="62" spans="2:9" x14ac:dyDescent="0.2">
      <c r="B62" s="48"/>
      <c r="C62" s="48"/>
    </row>
    <row r="63" spans="2:9" ht="25.5" x14ac:dyDescent="0.2">
      <c r="B63" s="48"/>
      <c r="C63" s="65" t="str">
        <f>IF($J$10=TRUE,"Responsible for completing:","Responsável pelo preenchimento:")</f>
        <v>Responsável pelo preenchimento:</v>
      </c>
      <c r="D63" s="166"/>
      <c r="E63" s="166"/>
      <c r="F63" s="166"/>
      <c r="G63" s="166"/>
      <c r="H63" s="166"/>
    </row>
    <row r="64" spans="2:9" x14ac:dyDescent="0.2">
      <c r="C64" s="65" t="str">
        <f>IF($J$10=TRUE,"Job Title:","Cargo:")</f>
        <v>Cargo:</v>
      </c>
      <c r="D64" s="166"/>
      <c r="E64" s="166"/>
      <c r="F64" s="166"/>
      <c r="G64" s="166"/>
      <c r="H64" s="166"/>
    </row>
    <row r="65" spans="2:8" x14ac:dyDescent="0.2">
      <c r="C65" s="65" t="str">
        <f>IF($J$10=TRUE,"Date:","Data:")</f>
        <v>Data:</v>
      </c>
      <c r="D65" s="166"/>
      <c r="E65" s="166"/>
      <c r="F65" s="166"/>
      <c r="G65" s="166"/>
      <c r="H65" s="166"/>
    </row>
    <row r="66" spans="2:8" x14ac:dyDescent="0.2">
      <c r="C66" s="48"/>
    </row>
    <row r="67" spans="2:8" x14ac:dyDescent="0.2">
      <c r="C67" s="48"/>
    </row>
    <row r="68" spans="2:8" x14ac:dyDescent="0.2">
      <c r="C68" s="48"/>
    </row>
    <row r="69" spans="2:8" x14ac:dyDescent="0.2">
      <c r="C69" s="181"/>
      <c r="D69" s="181"/>
      <c r="E69" s="181"/>
      <c r="F69" s="181"/>
      <c r="G69" s="181"/>
      <c r="H69" s="181"/>
    </row>
    <row r="70" spans="2:8" x14ac:dyDescent="0.2">
      <c r="C70" s="175" t="str">
        <f>IF($J$10=TRUE,"Signature","Assinatura")</f>
        <v>Assinatura</v>
      </c>
      <c r="D70" s="176"/>
      <c r="E70" s="176"/>
      <c r="F70" s="176"/>
      <c r="G70" s="176"/>
      <c r="H70" s="176"/>
    </row>
    <row r="76" spans="2:8" x14ac:dyDescent="0.2">
      <c r="B76" s="110"/>
    </row>
  </sheetData>
  <sheetProtection algorithmName="SHA-512" hashValue="2xMfn5oFK+9jft5ND+OdZebiMGeQoox9A390WGh+FMbExOKzPpEm9AqdRJPmP4zhbr9l9uf2Jt4IC4UeKaGWfg==" saltValue="oLRxSYkFDhl/tIMPuX7rCA==" spinCount="100000" sheet="1"/>
  <mergeCells count="64">
    <mergeCell ref="F27:H27"/>
    <mergeCell ref="B35:I35"/>
    <mergeCell ref="B53:C53"/>
    <mergeCell ref="H37:I37"/>
    <mergeCell ref="H46:I46"/>
    <mergeCell ref="H47:I47"/>
    <mergeCell ref="H48:I48"/>
    <mergeCell ref="H49:I49"/>
    <mergeCell ref="H53:I53"/>
    <mergeCell ref="H50:I50"/>
    <mergeCell ref="H51:I51"/>
    <mergeCell ref="B52:I52"/>
    <mergeCell ref="H41:I41"/>
    <mergeCell ref="B14:C14"/>
    <mergeCell ref="D27:E27"/>
    <mergeCell ref="F21:H21"/>
    <mergeCell ref="F22:H22"/>
    <mergeCell ref="B34:I34"/>
    <mergeCell ref="D21:E21"/>
    <mergeCell ref="D22:E22"/>
    <mergeCell ref="F23:H23"/>
    <mergeCell ref="F24:H24"/>
    <mergeCell ref="C20:H20"/>
    <mergeCell ref="D23:E23"/>
    <mergeCell ref="D24:E24"/>
    <mergeCell ref="D25:E25"/>
    <mergeCell ref="D26:E26"/>
    <mergeCell ref="F25:H25"/>
    <mergeCell ref="F26:H26"/>
    <mergeCell ref="A1:B4"/>
    <mergeCell ref="C1:I4"/>
    <mergeCell ref="J1:J2"/>
    <mergeCell ref="J3:J4"/>
    <mergeCell ref="C10:H10"/>
    <mergeCell ref="B5:H5"/>
    <mergeCell ref="E6:F6"/>
    <mergeCell ref="D64:H64"/>
    <mergeCell ref="D65:H65"/>
    <mergeCell ref="C69:H69"/>
    <mergeCell ref="C70:H70"/>
    <mergeCell ref="H54:I54"/>
    <mergeCell ref="H55:I55"/>
    <mergeCell ref="H56:I56"/>
    <mergeCell ref="B61:I61"/>
    <mergeCell ref="H57:I57"/>
    <mergeCell ref="H58:I58"/>
    <mergeCell ref="H59:I59"/>
    <mergeCell ref="D63:H63"/>
    <mergeCell ref="C11:H11"/>
    <mergeCell ref="B15:C15"/>
    <mergeCell ref="H44:I44"/>
    <mergeCell ref="H45:I45"/>
    <mergeCell ref="H38:I38"/>
    <mergeCell ref="H39:I39"/>
    <mergeCell ref="H40:I40"/>
    <mergeCell ref="H43:I43"/>
    <mergeCell ref="D15:H15"/>
    <mergeCell ref="H42:I42"/>
    <mergeCell ref="C12:H12"/>
    <mergeCell ref="C13:H13"/>
    <mergeCell ref="D14:H14"/>
    <mergeCell ref="B36:C36"/>
    <mergeCell ref="H36:I36"/>
    <mergeCell ref="D31:J31"/>
  </mergeCells>
  <dataValidations count="1">
    <dataValidation type="list" allowBlank="1" showInputMessage="1" showErrorMessage="1" sqref="D22:E27">
      <formula1>"SIM/YES,NÃO/NO"</formula1>
    </dataValidation>
  </dataValidations>
  <pageMargins left="0.511811024" right="0.511811024" top="0.78740157499999996" bottom="0.78740157499999996" header="0.31496062000000002" footer="0.31496062000000002"/>
  <drawing r:id="rId1"/>
  <legacyDrawing r:id="rId2"/>
  <mc:AlternateContent xmlns:mc="http://schemas.openxmlformats.org/markup-compatibility/2006">
    <mc:Choice Requires="x14">
      <controls>
        <mc:AlternateContent xmlns:mc="http://schemas.openxmlformats.org/markup-compatibility/2006">
          <mc:Choice Requires="x14">
            <control shapeId="41411" r:id="rId3" name="Check Box 1475">
              <controlPr locked="0" defaultSize="0" autoFill="0" autoLine="0" autoPict="0">
                <anchor moveWithCells="1">
                  <from>
                    <xdr:col>3</xdr:col>
                    <xdr:colOff>504825</xdr:colOff>
                    <xdr:row>4</xdr:row>
                    <xdr:rowOff>314325</xdr:rowOff>
                  </from>
                  <to>
                    <xdr:col>5</xdr:col>
                    <xdr:colOff>685800</xdr:colOff>
                    <xdr:row>6</xdr:row>
                    <xdr:rowOff>76200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14">
    <tabColor theme="0"/>
  </sheetPr>
  <dimension ref="A1:J58"/>
  <sheetViews>
    <sheetView showGridLines="0" workbookViewId="0">
      <selection activeCell="J5" sqref="J5"/>
    </sheetView>
  </sheetViews>
  <sheetFormatPr defaultRowHeight="12.75" x14ac:dyDescent="0.2"/>
  <cols>
    <col min="1" max="1" width="4.5703125" customWidth="1"/>
    <col min="2" max="2" width="18.7109375" customWidth="1"/>
    <col min="3" max="3" width="28.7109375" customWidth="1"/>
    <col min="4" max="5" width="7.7109375" customWidth="1"/>
    <col min="6" max="6" width="20.7109375" customWidth="1"/>
    <col min="7" max="7" width="7.7109375" customWidth="1"/>
    <col min="8" max="8" width="20.7109375" customWidth="1"/>
    <col min="9" max="9" width="18.7109375" customWidth="1"/>
    <col min="10" max="10" width="15.85546875" customWidth="1"/>
  </cols>
  <sheetData>
    <row r="1" spans="1:10" ht="12.75" customHeight="1" x14ac:dyDescent="0.2">
      <c r="A1" s="195"/>
      <c r="B1" s="196"/>
      <c r="C1" s="193" t="s">
        <v>20</v>
      </c>
      <c r="D1" s="159"/>
      <c r="E1" s="159"/>
      <c r="F1" s="159"/>
      <c r="G1" s="159"/>
      <c r="H1" s="159"/>
      <c r="I1" s="160"/>
      <c r="J1" s="147" t="s">
        <v>42</v>
      </c>
    </row>
    <row r="2" spans="1:10" ht="12.75" customHeight="1" x14ac:dyDescent="0.2">
      <c r="A2" s="197"/>
      <c r="B2" s="198"/>
      <c r="C2" s="193"/>
      <c r="D2" s="159"/>
      <c r="E2" s="159"/>
      <c r="F2" s="159"/>
      <c r="G2" s="159"/>
      <c r="H2" s="159"/>
      <c r="I2" s="160"/>
      <c r="J2" s="148"/>
    </row>
    <row r="3" spans="1:10" ht="12.75" customHeight="1" x14ac:dyDescent="0.2">
      <c r="A3" s="197"/>
      <c r="B3" s="198"/>
      <c r="C3" s="193"/>
      <c r="D3" s="159"/>
      <c r="E3" s="159"/>
      <c r="F3" s="159"/>
      <c r="G3" s="159"/>
      <c r="H3" s="159"/>
      <c r="I3" s="160"/>
      <c r="J3" s="148" t="s">
        <v>80</v>
      </c>
    </row>
    <row r="4" spans="1:10" ht="13.5" customHeight="1" thickBot="1" x14ac:dyDescent="0.25">
      <c r="A4" s="199"/>
      <c r="B4" s="200"/>
      <c r="C4" s="194"/>
      <c r="D4" s="161"/>
      <c r="E4" s="161"/>
      <c r="F4" s="161"/>
      <c r="G4" s="161"/>
      <c r="H4" s="161"/>
      <c r="I4" s="162"/>
      <c r="J4" s="149"/>
    </row>
    <row r="5" spans="1:10" ht="24.75" customHeight="1" x14ac:dyDescent="0.2">
      <c r="B5" s="203" t="s">
        <v>43</v>
      </c>
      <c r="C5" s="203"/>
      <c r="D5" s="203"/>
      <c r="E5" s="203"/>
      <c r="F5" s="203"/>
      <c r="G5" s="203"/>
      <c r="H5" s="203"/>
    </row>
    <row r="6" spans="1:10" x14ac:dyDescent="0.2">
      <c r="B6" s="10"/>
      <c r="C6" s="111"/>
      <c r="D6" s="10"/>
      <c r="E6" s="214"/>
      <c r="F6" s="214"/>
    </row>
    <row r="7" spans="1:10" x14ac:dyDescent="0.2">
      <c r="B7" s="10"/>
      <c r="C7" s="10"/>
    </row>
    <row r="8" spans="1:10" ht="11.25" customHeight="1" x14ac:dyDescent="0.2">
      <c r="B8" s="19"/>
      <c r="C8" s="20"/>
      <c r="D8" s="21"/>
      <c r="E8" s="21"/>
      <c r="F8" s="21"/>
      <c r="G8" s="21"/>
      <c r="H8" s="21"/>
      <c r="I8" s="22"/>
    </row>
    <row r="9" spans="1:10" x14ac:dyDescent="0.2">
      <c r="B9" s="23"/>
      <c r="C9" s="10"/>
      <c r="I9" s="24"/>
    </row>
    <row r="10" spans="1:10" ht="18" customHeight="1" x14ac:dyDescent="0.25">
      <c r="B10" s="25" t="str">
        <f>IF($J$10=TRUE,"Corporate Name:","Razão Social:")</f>
        <v>Razão Social:</v>
      </c>
      <c r="C10" s="204"/>
      <c r="D10" s="204"/>
      <c r="E10" s="204"/>
      <c r="F10" s="204"/>
      <c r="G10" s="204"/>
      <c r="H10" s="204"/>
      <c r="I10" s="26"/>
      <c r="J10" s="128" t="b">
        <v>0</v>
      </c>
    </row>
    <row r="11" spans="1:10" ht="18" customHeight="1" x14ac:dyDescent="0.25">
      <c r="B11" s="25" t="str">
        <f>IF($J$10=TRUE,"Fantasy Name:","Nome Fantasia:")</f>
        <v>Nome Fantasia:</v>
      </c>
      <c r="C11" s="204"/>
      <c r="D11" s="204"/>
      <c r="E11" s="204"/>
      <c r="F11" s="204"/>
      <c r="G11" s="204"/>
      <c r="H11" s="204"/>
      <c r="I11" s="24"/>
    </row>
    <row r="12" spans="1:10" ht="18" customHeight="1" x14ac:dyDescent="0.25">
      <c r="B12" s="25" t="str">
        <f>IF($J$10=TRUE,"TIN:","CNPJ:")</f>
        <v>CNPJ:</v>
      </c>
      <c r="C12" s="204"/>
      <c r="D12" s="204"/>
      <c r="E12" s="204"/>
      <c r="F12" s="204"/>
      <c r="G12" s="204"/>
      <c r="H12" s="204"/>
      <c r="I12" s="26"/>
    </row>
    <row r="13" spans="1:10" ht="18" customHeight="1" x14ac:dyDescent="0.25">
      <c r="B13" s="25" t="str">
        <f>IF($J$10=TRUE,"Adress:","Endereço:")</f>
        <v>Endereço:</v>
      </c>
      <c r="C13" s="204"/>
      <c r="D13" s="204"/>
      <c r="E13" s="204"/>
      <c r="F13" s="204"/>
      <c r="G13" s="204"/>
      <c r="H13" s="204"/>
      <c r="I13" s="26"/>
    </row>
    <row r="14" spans="1:10" ht="18" customHeight="1" x14ac:dyDescent="0.2">
      <c r="B14" s="164" t="str">
        <f>IF($J$10=TRUE,"Product supplied to ICC Brazil:","Produto (s) fornecido (s) para a ICC:")</f>
        <v>Produto (s) fornecido (s) para a ICC:</v>
      </c>
      <c r="C14" s="165"/>
      <c r="D14" s="216"/>
      <c r="E14" s="216"/>
      <c r="F14" s="216"/>
      <c r="G14" s="216"/>
      <c r="H14" s="216"/>
      <c r="I14" s="24"/>
    </row>
    <row r="15" spans="1:10" ht="18" customHeight="1" x14ac:dyDescent="0.2">
      <c r="B15" s="240" t="str">
        <f>IF($J$10=TRUE,"CEO:","Responsável Técnico:")</f>
        <v>Responsável Técnico:</v>
      </c>
      <c r="C15" s="241"/>
      <c r="D15" s="216"/>
      <c r="E15" s="216"/>
      <c r="F15" s="216"/>
      <c r="G15" s="216"/>
      <c r="H15" s="216"/>
      <c r="I15" s="24"/>
    </row>
    <row r="16" spans="1:10" x14ac:dyDescent="0.2">
      <c r="B16" s="28"/>
      <c r="C16" s="29"/>
      <c r="D16" s="30"/>
      <c r="E16" s="30"/>
      <c r="F16" s="30"/>
      <c r="G16" s="30"/>
      <c r="H16" s="30"/>
      <c r="I16" s="31"/>
    </row>
    <row r="17" spans="2:10" x14ac:dyDescent="0.2">
      <c r="B17" s="16"/>
      <c r="C17" s="16"/>
    </row>
    <row r="18" spans="2:10" x14ac:dyDescent="0.2">
      <c r="B18" s="16"/>
      <c r="C18" s="16"/>
    </row>
    <row r="19" spans="2:10" x14ac:dyDescent="0.2">
      <c r="B19" s="33"/>
      <c r="C19" s="34"/>
      <c r="D19" s="21"/>
      <c r="E19" s="21"/>
      <c r="F19" s="21"/>
      <c r="G19" s="21"/>
      <c r="H19" s="21"/>
      <c r="I19" s="22"/>
    </row>
    <row r="20" spans="2:10" x14ac:dyDescent="0.2">
      <c r="B20" s="35"/>
      <c r="C20" s="205" t="str">
        <f>IF($J$10=TRUE,"Please select the submitted documents below","Selecione abaixo os documentos enviados.")</f>
        <v>Selecione abaixo os documentos enviados.</v>
      </c>
      <c r="D20" s="205"/>
      <c r="E20" s="205"/>
      <c r="F20" s="205"/>
      <c r="G20" s="205"/>
      <c r="H20" s="205"/>
      <c r="I20" s="24"/>
    </row>
    <row r="21" spans="2:10" x14ac:dyDescent="0.2">
      <c r="B21" s="35"/>
      <c r="C21" s="44" t="str">
        <f>IF($J$10=TRUE,"REQUIREMENT","REQUISITO")</f>
        <v>REQUISITO</v>
      </c>
      <c r="D21" s="206" t="str">
        <f>IF($J$10=TRUE,"SENT","ENVIADO")</f>
        <v>ENVIADO</v>
      </c>
      <c r="E21" s="206"/>
      <c r="F21" s="187" t="str">
        <f>IF($J$10=TRUE,"DOCUMENTS","DOCUMENTOS")</f>
        <v>DOCUMENTOS</v>
      </c>
      <c r="G21" s="188"/>
      <c r="H21" s="189"/>
      <c r="I21" s="24"/>
    </row>
    <row r="22" spans="2:10" x14ac:dyDescent="0.2">
      <c r="B22" s="35"/>
      <c r="C22" s="47" t="str">
        <f>IF($J$10=TRUE,"Mandatory","Obrigatório")</f>
        <v>Obrigatório</v>
      </c>
      <c r="D22" s="201"/>
      <c r="E22" s="201"/>
      <c r="F22" s="221" t="str">
        <f>IF($J$10=TRUE,"Certificates or document proving qualification","Certificados ou documento que comprove a qualificação")</f>
        <v>Certificados ou documento que comprove a qualificação</v>
      </c>
      <c r="G22" s="222"/>
      <c r="H22" s="223"/>
      <c r="I22" s="24"/>
    </row>
    <row r="23" spans="2:10" x14ac:dyDescent="0.2">
      <c r="B23" s="36"/>
      <c r="C23" s="46" t="str">
        <f>IF($J$10=TRUE,"Differencial","Diferencial")</f>
        <v>Diferencial</v>
      </c>
      <c r="D23" s="201"/>
      <c r="E23" s="201"/>
      <c r="F23" s="221" t="str">
        <f>IF($J$10=TRUE,"Curriculum","Currículo")</f>
        <v>Currículo</v>
      </c>
      <c r="G23" s="222"/>
      <c r="H23" s="223"/>
      <c r="I23" s="24"/>
    </row>
    <row r="24" spans="2:10" x14ac:dyDescent="0.2">
      <c r="B24" s="39"/>
      <c r="C24" s="30"/>
      <c r="D24" s="30"/>
      <c r="E24" s="30"/>
      <c r="F24" s="30"/>
      <c r="G24" s="30"/>
      <c r="H24" s="30"/>
      <c r="I24" s="31"/>
    </row>
    <row r="26" spans="2:10" x14ac:dyDescent="0.2">
      <c r="D26" s="154"/>
      <c r="E26" s="154"/>
      <c r="F26" s="154"/>
      <c r="G26" s="154"/>
      <c r="H26" s="154"/>
      <c r="I26" s="154"/>
      <c r="J26" s="139"/>
    </row>
    <row r="27" spans="2:10" x14ac:dyDescent="0.2">
      <c r="B27" s="41"/>
      <c r="C27" s="21"/>
      <c r="D27" s="42"/>
      <c r="E27" s="42"/>
      <c r="F27" s="42"/>
      <c r="G27" s="42"/>
      <c r="H27" s="42"/>
      <c r="I27" s="43"/>
      <c r="J27" s="40"/>
    </row>
    <row r="28" spans="2:10" x14ac:dyDescent="0.2">
      <c r="B28" s="36"/>
      <c r="I28" s="24"/>
    </row>
    <row r="29" spans="2:10" x14ac:dyDescent="0.2">
      <c r="B29" s="236" t="str">
        <f>IF($J$10=TRUE,"Read each statement and mark with an X in the column according to the company's service in the item.","Por favor, leia cada enunciado e assinale com um X na coluna correspondente ao atendimento da empresa para o respectivo item.")</f>
        <v>Por favor, leia cada enunciado e assinale com um X na coluna correspondente ao atendimento da empresa para o respectivo item.</v>
      </c>
      <c r="C29" s="237"/>
      <c r="D29" s="237"/>
      <c r="E29" s="237"/>
      <c r="F29" s="237"/>
      <c r="G29" s="237"/>
      <c r="H29" s="237"/>
      <c r="I29" s="238"/>
    </row>
    <row r="30" spans="2:10" ht="15.75" x14ac:dyDescent="0.2">
      <c r="B30" s="167" t="str">
        <f>IF($J$10=TRUE,"QUALITY AND FOOD SAFETY MANAGEMENT SYSTEM","SISTEMA DE GESTÃO DA QUALIDADE E SEGURANÇA DE ALIMENTOS")</f>
        <v>SISTEMA DE GESTÃO DA QUALIDADE E SEGURANÇA DE ALIMENTOS</v>
      </c>
      <c r="C30" s="168"/>
      <c r="D30" s="168"/>
      <c r="E30" s="168"/>
      <c r="F30" s="168"/>
      <c r="G30" s="168"/>
      <c r="H30" s="168"/>
      <c r="I30" s="169"/>
    </row>
    <row r="31" spans="2:10" x14ac:dyDescent="0.2">
      <c r="B31" s="170" t="str">
        <f>IF($J$10=TRUE,"Items (Answer the question with an X. If the answer is NA, please justify the answer at the Observation field.","Itens (Selecione a resposta com X) / Se NA, justificar em Observações")</f>
        <v>Itens (Selecione a resposta com X) / Se NA, justificar em Observações</v>
      </c>
      <c r="C31" s="171"/>
      <c r="D31" s="114" t="str">
        <f>IF($J$10=TRUE,"Yes","Sim")</f>
        <v>Sim</v>
      </c>
      <c r="E31" s="114" t="str">
        <f>IF($J$10=TRUE,"No","Não")</f>
        <v>Não</v>
      </c>
      <c r="F31" s="114" t="str">
        <f>IF($J$10=TRUE,"In progress","Em andamento")</f>
        <v>Em andamento</v>
      </c>
      <c r="G31" s="113" t="str">
        <f>IF($J$10=TRUE,"NA (not applicable)","NA")</f>
        <v>NA</v>
      </c>
      <c r="H31" s="172" t="str">
        <f>IF($J$10=TRUE,"Observation","Observações")</f>
        <v>Observações</v>
      </c>
      <c r="I31" s="173"/>
    </row>
    <row r="32" spans="2:10" ht="25.5" x14ac:dyDescent="0.2">
      <c r="B32" s="99">
        <v>1</v>
      </c>
      <c r="C32" s="99" t="str">
        <f>IF($J$10=TRUE,"Does the company have regularization documents?","A empresa possui documentos de regularização? ")</f>
        <v xml:space="preserve">A empresa possui documentos de regularização? </v>
      </c>
      <c r="D32" s="129"/>
      <c r="E32" s="129"/>
      <c r="F32" s="129"/>
      <c r="G32" s="129"/>
      <c r="H32" s="166"/>
      <c r="I32" s="166"/>
    </row>
    <row r="33" spans="2:9" ht="25.5" x14ac:dyDescent="0.2">
      <c r="B33" s="60">
        <f>B32+1</f>
        <v>2</v>
      </c>
      <c r="C33" s="99" t="str">
        <f>IF($J$10=TRUE,"Does the company have a written service procedure?","A empresa possui procedimento por escrito do serviço prestado?")</f>
        <v>A empresa possui procedimento por escrito do serviço prestado?</v>
      </c>
      <c r="D33" s="129"/>
      <c r="E33" s="129"/>
      <c r="F33" s="129"/>
      <c r="G33" s="129"/>
      <c r="H33" s="166"/>
      <c r="I33" s="166"/>
    </row>
    <row r="34" spans="2:9" ht="51" x14ac:dyDescent="0.2">
      <c r="B34" s="60">
        <f t="shared" ref="B34:B47" si="0">B33+1</f>
        <v>3</v>
      </c>
      <c r="C34" s="99" t="str">
        <f>IF($J$10=TRUE,"Are all personnel involved in the process properly qualified and are there internal records of this qualification?","Todo pessoal envolvido no processo é devidamente qualificado e existem registros internos dessa qualificação?")</f>
        <v>Todo pessoal envolvido no processo é devidamente qualificado e existem registros internos dessa qualificação?</v>
      </c>
      <c r="D34" s="129"/>
      <c r="E34" s="129"/>
      <c r="F34" s="129"/>
      <c r="G34" s="129"/>
      <c r="H34" s="166"/>
      <c r="I34" s="166"/>
    </row>
    <row r="35" spans="2:9" ht="38.25" x14ac:dyDescent="0.2">
      <c r="B35" s="60">
        <f t="shared" si="0"/>
        <v>4</v>
      </c>
      <c r="C35" s="99" t="str">
        <f>IF($J$10=TRUE,"Are periodic health checks carried out and recorded for employees?","São realizados e registrados exames periódicos para controle de saúde dos funcionários?")</f>
        <v>São realizados e registrados exames periódicos para controle de saúde dos funcionários?</v>
      </c>
      <c r="D35" s="129"/>
      <c r="E35" s="129"/>
      <c r="F35" s="129"/>
      <c r="G35" s="129"/>
      <c r="H35" s="166"/>
      <c r="I35" s="166"/>
    </row>
    <row r="36" spans="2:9" ht="63.75" x14ac:dyDescent="0.2">
      <c r="B36" s="60">
        <f t="shared" si="0"/>
        <v>5</v>
      </c>
      <c r="C36" s="99" t="str">
        <f>IF($J$10=TRUE,"Does the Company have a responsible person who is legally responsible for the services provided? Describe the category (Example: Chemist; Engineer, etc.)","A Empresa tem um responsável que responde legalmente pelos serviços prestados? Descrever a categoria (Exemplo: Químico ; Engenheiro, etc)")</f>
        <v>A Empresa tem um responsável que responde legalmente pelos serviços prestados? Descrever a categoria (Exemplo: Químico ; Engenheiro, etc)</v>
      </c>
      <c r="D36" s="129"/>
      <c r="E36" s="129"/>
      <c r="F36" s="129"/>
      <c r="G36" s="129"/>
      <c r="H36" s="166"/>
      <c r="I36" s="166"/>
    </row>
    <row r="37" spans="2:9" ht="25.5" x14ac:dyDescent="0.2">
      <c r="B37" s="60">
        <f t="shared" si="0"/>
        <v>6</v>
      </c>
      <c r="C37" s="99" t="str">
        <f>IF($J$10=TRUE,"Are there documented records of all services provided?","Há registros documentados de todo serviço prestado?")</f>
        <v>Há registros documentados de todo serviço prestado?</v>
      </c>
      <c r="D37" s="129"/>
      <c r="E37" s="129"/>
      <c r="F37" s="129"/>
      <c r="G37" s="129"/>
      <c r="H37" s="166"/>
      <c r="I37" s="166"/>
    </row>
    <row r="38" spans="2:9" ht="25.5" x14ac:dyDescent="0.2">
      <c r="B38" s="60">
        <f t="shared" si="0"/>
        <v>7</v>
      </c>
      <c r="C38" s="99" t="str">
        <f>IF($J$10=TRUE,"Is the deadline allowed for performing the service met?","É cumprido o prazo permitido para realização do serviço?")</f>
        <v>É cumprido o prazo permitido para realização do serviço?</v>
      </c>
      <c r="D38" s="127"/>
      <c r="E38" s="127"/>
      <c r="F38" s="127"/>
      <c r="G38" s="127"/>
      <c r="H38" s="166"/>
      <c r="I38" s="166"/>
    </row>
    <row r="39" spans="2:9" ht="25.5" x14ac:dyDescent="0.2">
      <c r="B39" s="60">
        <f t="shared" si="0"/>
        <v>8</v>
      </c>
      <c r="C39" s="99" t="str">
        <f>IF($J$10=TRUE,"Is there professional competence in performing the service?","Há competência profissional na execução do serviço?")</f>
        <v>Há competência profissional na execução do serviço?</v>
      </c>
      <c r="D39" s="127"/>
      <c r="E39" s="127"/>
      <c r="F39" s="127"/>
      <c r="G39" s="127"/>
      <c r="H39" s="166"/>
      <c r="I39" s="166"/>
    </row>
    <row r="40" spans="2:9" ht="38.25" x14ac:dyDescent="0.2">
      <c r="B40" s="60">
        <f t="shared" si="0"/>
        <v>9</v>
      </c>
      <c r="C40" s="99" t="str">
        <f>IF($J$10=TRUE,"Is there sufficient resource use? (people, tools, materials)","Há uso de recursos em quantidade suficiente? (pessoas, ferramentas, materiais)")</f>
        <v>Há uso de recursos em quantidade suficiente? (pessoas, ferramentas, materiais)</v>
      </c>
      <c r="D40" s="129"/>
      <c r="E40" s="129"/>
      <c r="F40" s="129"/>
      <c r="G40" s="129"/>
      <c r="H40" s="166"/>
      <c r="I40" s="166"/>
    </row>
    <row r="41" spans="2:9" ht="51" x14ac:dyDescent="0.2">
      <c r="B41" s="60">
        <f t="shared" si="0"/>
        <v>10</v>
      </c>
      <c r="C41" s="99" t="str">
        <f>IF($J$10=TRUE,"Are the employees of the providing company able to comply with the Contracting Company’s Standards?","Os colaboradores da empresa prestadora estão aptos a cumprir com as Normas da Empresa  contratante?")</f>
        <v>Os colaboradores da empresa prestadora estão aptos a cumprir com as Normas da Empresa  contratante?</v>
      </c>
      <c r="D41" s="129"/>
      <c r="E41" s="129"/>
      <c r="F41" s="129"/>
      <c r="G41" s="129"/>
      <c r="H41" s="166"/>
      <c r="I41" s="166"/>
    </row>
    <row r="42" spans="2:9" ht="38.25" x14ac:dyDescent="0.2">
      <c r="B42" s="60">
        <f t="shared" si="0"/>
        <v>11</v>
      </c>
      <c r="C42" s="99" t="str">
        <f>IF($J$10=TRUE,"Do employee employees dress appropriately for their role?","Os colaboradores prestadores vestem-se adequadamente para o exercício do cargo?")</f>
        <v>Os colaboradores prestadores vestem-se adequadamente para o exercício do cargo?</v>
      </c>
      <c r="D42" s="129"/>
      <c r="E42" s="129"/>
      <c r="F42" s="129"/>
      <c r="G42" s="129"/>
      <c r="H42" s="166"/>
      <c r="I42" s="166"/>
    </row>
    <row r="43" spans="2:9" ht="25.5" x14ac:dyDescent="0.2">
      <c r="B43" s="60">
        <f t="shared" si="0"/>
        <v>12</v>
      </c>
      <c r="C43" s="99" t="str">
        <f>IF($J$10=TRUE,"Do provider employees use PPE when necessary?","Os colaboradores prestadores usam EPI'S quando necessário?")</f>
        <v>Os colaboradores prestadores usam EPI'S quando necessário?</v>
      </c>
      <c r="D43" s="129"/>
      <c r="E43" s="129"/>
      <c r="F43" s="129"/>
      <c r="G43" s="129"/>
      <c r="H43" s="166"/>
      <c r="I43" s="166"/>
    </row>
    <row r="44" spans="2:9" ht="63.75" x14ac:dyDescent="0.2">
      <c r="B44" s="60">
        <f t="shared" si="0"/>
        <v>13</v>
      </c>
      <c r="C44" s="117" t="str">
        <f>IF($J$10=TRUE,"Is the company committed to sending update information when there are any changes to the process/service?","A empresa  está comprometida em enviar informações de atualização quando houver qualquer alteração no processo/e ou serviço?")</f>
        <v>A empresa  está comprometida em enviar informações de atualização quando houver qualquer alteração no processo/e ou serviço?</v>
      </c>
      <c r="D44" s="129"/>
      <c r="E44" s="129"/>
      <c r="F44" s="129"/>
      <c r="G44" s="129"/>
      <c r="H44" s="166"/>
      <c r="I44" s="166"/>
    </row>
    <row r="45" spans="2:9" ht="76.5" x14ac:dyDescent="0.2">
      <c r="B45" s="60">
        <f t="shared" si="0"/>
        <v>14</v>
      </c>
      <c r="C45" s="117" t="str">
        <f>IF($J$10=TRUE,"Does the company develop activities that optimize the use of natural resources (e.g.: control of consumption of water, energy, materials/inputs, etc.)?","A empresa desenvolve atividades que otimiza a utilização de recursos naturais (p.ex.: controle do consumo de água, energia, materiais/insumos, etc.)?")</f>
        <v>A empresa desenvolve atividades que otimiza a utilização de recursos naturais (p.ex.: controle do consumo de água, energia, materiais/insumos, etc.)?</v>
      </c>
      <c r="D45" s="129"/>
      <c r="E45" s="129"/>
      <c r="F45" s="129"/>
      <c r="G45" s="129"/>
      <c r="H45" s="166"/>
      <c r="I45" s="166"/>
    </row>
    <row r="46" spans="2:9" ht="102" x14ac:dyDescent="0.2">
      <c r="B46" s="60">
        <f t="shared" si="0"/>
        <v>15</v>
      </c>
      <c r="C46" s="117" t="str">
        <f>IF($J$10=TRUE,"Does the company maintain activities, linked to production processes and/or services, that minimize impacts on the Environment? (e.g.: control of adequate waste disposal, reduction of noise generation, etc.)","A empresa mantém atividades, ligadas aos processos produtivos e/ou serviços, que minimizem os impactos ao Meio Ambiente? (p.ex.: controle do descarte adequado de resíduos, redução da geração de ruídos, etc.) ")</f>
        <v xml:space="preserve">A empresa mantém atividades, ligadas aos processos produtivos e/ou serviços, que minimizem os impactos ao Meio Ambiente? (p.ex.: controle do descarte adequado de resíduos, redução da geração de ruídos, etc.) </v>
      </c>
      <c r="D46" s="129"/>
      <c r="E46" s="129"/>
      <c r="F46" s="129"/>
      <c r="G46" s="129"/>
      <c r="H46" s="166"/>
      <c r="I46" s="166"/>
    </row>
    <row r="47" spans="2:9" ht="51" x14ac:dyDescent="0.2">
      <c r="B47" s="60">
        <f t="shared" si="0"/>
        <v>16</v>
      </c>
      <c r="C47" s="117" t="str">
        <f>IF($J$10=TRUE,"Supervision of the work performed? (problem detection and execution before service delivery)","Há supervisão do trabalho executado? (detecção e execução de problema antes da entrega do serviço)")</f>
        <v>Há supervisão do trabalho executado? (detecção e execução de problema antes da entrega do serviço)</v>
      </c>
      <c r="D47" s="129"/>
      <c r="E47" s="129"/>
      <c r="F47" s="129"/>
      <c r="G47" s="129"/>
      <c r="H47" s="166"/>
      <c r="I47" s="166"/>
    </row>
    <row r="49" spans="2:9" ht="26.25" customHeight="1" x14ac:dyDescent="0.2">
      <c r="B49" s="239" t="str">
        <f>IF($J$10=TRUE,"I declare that all information is true and that any changes in the manufacturing process, specification, or any other changes that impact the quality and/or traceability of the product supplied will be duly communicated to ICC Brazil.","Declaro que todas as informações são verídicas e que qualquer alteração no processo de fabricação, especificação, ou quaisquer outras mudanças que impactem na qualidade e/ou rastreabilidade do produto fornecido serão devidamente comunicados a ICC Brazil.")</f>
        <v>Declaro que todas as informações são verídicas e que qualquer alteração no processo de fabricação, especificação, ou quaisquer outras mudanças que impactem na qualidade e/ou rastreabilidade do produto fornecido serão devidamente comunicados a ICC Brazil.</v>
      </c>
      <c r="C49" s="239"/>
      <c r="D49" s="239"/>
      <c r="E49" s="239"/>
      <c r="F49" s="239"/>
      <c r="G49" s="239"/>
      <c r="H49" s="239"/>
      <c r="I49" s="239"/>
    </row>
    <row r="50" spans="2:9" x14ac:dyDescent="0.2">
      <c r="C50" s="48"/>
    </row>
    <row r="51" spans="2:9" ht="25.5" x14ac:dyDescent="0.2">
      <c r="C51" s="125" t="str">
        <f>IF($J$10=TRUE,"Responsible for completing:","Responsável pelo preenchimento:")</f>
        <v>Responsável pelo preenchimento:</v>
      </c>
      <c r="D51" s="166"/>
      <c r="E51" s="166"/>
      <c r="F51" s="166"/>
      <c r="G51" s="166"/>
      <c r="H51" s="166"/>
    </row>
    <row r="52" spans="2:9" x14ac:dyDescent="0.2">
      <c r="C52" s="125" t="str">
        <f>IF($J$10=TRUE,"Job Title:","Cargo:")</f>
        <v>Cargo:</v>
      </c>
      <c r="D52" s="166"/>
      <c r="E52" s="166"/>
      <c r="F52" s="166"/>
      <c r="G52" s="166"/>
      <c r="H52" s="166"/>
    </row>
    <row r="53" spans="2:9" x14ac:dyDescent="0.2">
      <c r="C53" s="125" t="str">
        <f>IF($J$10=TRUE,"Date:","Data:")</f>
        <v>Data:</v>
      </c>
      <c r="D53" s="166"/>
      <c r="E53" s="166"/>
      <c r="F53" s="166"/>
      <c r="G53" s="166"/>
      <c r="H53" s="166"/>
    </row>
    <row r="54" spans="2:9" x14ac:dyDescent="0.2">
      <c r="C54" s="48"/>
    </row>
    <row r="55" spans="2:9" x14ac:dyDescent="0.2">
      <c r="C55" s="48"/>
    </row>
    <row r="56" spans="2:9" x14ac:dyDescent="0.2">
      <c r="C56" s="48"/>
    </row>
    <row r="57" spans="2:9" x14ac:dyDescent="0.2">
      <c r="C57" s="181"/>
      <c r="D57" s="181"/>
      <c r="E57" s="181"/>
      <c r="F57" s="181"/>
      <c r="G57" s="181"/>
      <c r="H57" s="181"/>
    </row>
    <row r="58" spans="2:9" x14ac:dyDescent="0.2">
      <c r="C58" s="175" t="str">
        <f>IF($J$10=TRUE,"Signature","Assinatura")</f>
        <v>Assinatura</v>
      </c>
      <c r="D58" s="176"/>
      <c r="E58" s="176"/>
      <c r="F58" s="176"/>
      <c r="G58" s="176"/>
      <c r="H58" s="176"/>
    </row>
  </sheetData>
  <sheetProtection algorithmName="SHA-512" hashValue="Bvq0+urLnjwiQ6OcJ48fQ40FF91MHiOiQHsE+b8jPkGAq8B7epM3ss2GD9zXKX5YekGaWhBkPqRyov5bgKl1kA==" saltValue="1YUhSFPU0I4fKZC/NSz8tw==" spinCount="100000" sheet="1"/>
  <mergeCells count="48">
    <mergeCell ref="H43:I43"/>
    <mergeCell ref="H44:I44"/>
    <mergeCell ref="H45:I45"/>
    <mergeCell ref="H46:I46"/>
    <mergeCell ref="H47:I47"/>
    <mergeCell ref="H38:I38"/>
    <mergeCell ref="H39:I39"/>
    <mergeCell ref="H40:I40"/>
    <mergeCell ref="H41:I41"/>
    <mergeCell ref="H42:I42"/>
    <mergeCell ref="D23:E23"/>
    <mergeCell ref="H33:I33"/>
    <mergeCell ref="H34:I34"/>
    <mergeCell ref="H37:I37"/>
    <mergeCell ref="H36:I36"/>
    <mergeCell ref="H35:I35"/>
    <mergeCell ref="D53:H53"/>
    <mergeCell ref="C57:H57"/>
    <mergeCell ref="J1:J2"/>
    <mergeCell ref="J3:J4"/>
    <mergeCell ref="B31:C31"/>
    <mergeCell ref="H31:I31"/>
    <mergeCell ref="H32:I32"/>
    <mergeCell ref="B5:H5"/>
    <mergeCell ref="E6:F6"/>
    <mergeCell ref="B29:I29"/>
    <mergeCell ref="F21:H21"/>
    <mergeCell ref="F22:H22"/>
    <mergeCell ref="F23:H23"/>
    <mergeCell ref="C13:H13"/>
    <mergeCell ref="D21:E21"/>
    <mergeCell ref="D22:E22"/>
    <mergeCell ref="C58:H58"/>
    <mergeCell ref="A1:B4"/>
    <mergeCell ref="C1:I4"/>
    <mergeCell ref="D14:H14"/>
    <mergeCell ref="B14:C14"/>
    <mergeCell ref="B15:C15"/>
    <mergeCell ref="D26:J26"/>
    <mergeCell ref="B49:I49"/>
    <mergeCell ref="D51:H51"/>
    <mergeCell ref="B30:I30"/>
    <mergeCell ref="C10:H10"/>
    <mergeCell ref="C11:H11"/>
    <mergeCell ref="C12:H12"/>
    <mergeCell ref="C20:H20"/>
    <mergeCell ref="D15:H15"/>
    <mergeCell ref="D52:H52"/>
  </mergeCells>
  <dataValidations count="1">
    <dataValidation type="list" allowBlank="1" showInputMessage="1" showErrorMessage="1" sqref="D22:E23">
      <formula1>"SIM/YES,NÃO/NO"</formula1>
    </dataValidation>
  </dataValidations>
  <pageMargins left="0.511811024" right="0.511811024" top="0.78740157499999996" bottom="0.78740157499999996" header="0.31496062000000002" footer="0.31496062000000002"/>
  <drawing r:id="rId1"/>
  <legacyDrawing r:id="rId2"/>
  <mc:AlternateContent xmlns:mc="http://schemas.openxmlformats.org/markup-compatibility/2006">
    <mc:Choice Requires="x14">
      <controls>
        <mc:AlternateContent xmlns:mc="http://schemas.openxmlformats.org/markup-compatibility/2006">
          <mc:Choice Requires="x14">
            <control shapeId="45979" r:id="rId3" name="Check Box 1947">
              <controlPr locked="0" defaultSize="0" autoFill="0" autoLine="0" autoPict="0">
                <anchor moveWithCells="1">
                  <from>
                    <xdr:col>3</xdr:col>
                    <xdr:colOff>285750</xdr:colOff>
                    <xdr:row>4</xdr:row>
                    <xdr:rowOff>409575</xdr:rowOff>
                  </from>
                  <to>
                    <xdr:col>5</xdr:col>
                    <xdr:colOff>476250</xdr:colOff>
                    <xdr:row>6</xdr:row>
                    <xdr:rowOff>161925</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15"/>
  <dimension ref="A1:J62"/>
  <sheetViews>
    <sheetView showGridLines="0" workbookViewId="0">
      <selection activeCell="J5" sqref="J5"/>
    </sheetView>
  </sheetViews>
  <sheetFormatPr defaultColWidth="0" defaultRowHeight="12.75" x14ac:dyDescent="0.2"/>
  <cols>
    <col min="1" max="1" width="4.5703125" customWidth="1"/>
    <col min="2" max="2" width="16.28515625" style="67" customWidth="1"/>
    <col min="3" max="3" width="30.5703125" style="67" customWidth="1"/>
    <col min="4" max="5" width="7.7109375" customWidth="1"/>
    <col min="6" max="6" width="20.7109375" customWidth="1"/>
    <col min="7" max="7" width="7.7109375" customWidth="1"/>
    <col min="8" max="8" width="20.7109375" customWidth="1"/>
    <col min="9" max="9" width="18.7109375" customWidth="1"/>
    <col min="10" max="10" width="16.140625" customWidth="1"/>
  </cols>
  <sheetData>
    <row r="1" spans="1:10" ht="12.75" customHeight="1" x14ac:dyDescent="0.2">
      <c r="A1" s="195"/>
      <c r="B1" s="196"/>
      <c r="C1" s="193" t="s">
        <v>44</v>
      </c>
      <c r="D1" s="159"/>
      <c r="E1" s="159"/>
      <c r="F1" s="159"/>
      <c r="G1" s="159"/>
      <c r="H1" s="159"/>
      <c r="I1" s="160"/>
      <c r="J1" s="147" t="s">
        <v>42</v>
      </c>
    </row>
    <row r="2" spans="1:10" ht="12.75" customHeight="1" x14ac:dyDescent="0.2">
      <c r="A2" s="197"/>
      <c r="B2" s="198"/>
      <c r="C2" s="193"/>
      <c r="D2" s="159"/>
      <c r="E2" s="159"/>
      <c r="F2" s="159"/>
      <c r="G2" s="159"/>
      <c r="H2" s="159"/>
      <c r="I2" s="160"/>
      <c r="J2" s="148"/>
    </row>
    <row r="3" spans="1:10" ht="12.75" customHeight="1" x14ac:dyDescent="0.2">
      <c r="A3" s="197"/>
      <c r="B3" s="198"/>
      <c r="C3" s="193"/>
      <c r="D3" s="159"/>
      <c r="E3" s="159"/>
      <c r="F3" s="159"/>
      <c r="G3" s="159"/>
      <c r="H3" s="159"/>
      <c r="I3" s="160"/>
      <c r="J3" s="148" t="s">
        <v>80</v>
      </c>
    </row>
    <row r="4" spans="1:10" ht="13.5" customHeight="1" thickBot="1" x14ac:dyDescent="0.25">
      <c r="A4" s="199"/>
      <c r="B4" s="200"/>
      <c r="C4" s="194"/>
      <c r="D4" s="161"/>
      <c r="E4" s="161"/>
      <c r="F4" s="161"/>
      <c r="G4" s="161"/>
      <c r="H4" s="161"/>
      <c r="I4" s="162"/>
      <c r="J4" s="149"/>
    </row>
    <row r="5" spans="1:10" ht="29.25" customHeight="1" x14ac:dyDescent="0.2">
      <c r="B5" s="203" t="s">
        <v>43</v>
      </c>
      <c r="C5" s="203"/>
      <c r="D5" s="203"/>
      <c r="E5" s="203"/>
      <c r="F5" s="203"/>
      <c r="G5" s="203"/>
      <c r="H5" s="203"/>
    </row>
    <row r="6" spans="1:10" x14ac:dyDescent="0.2">
      <c r="B6" s="66"/>
      <c r="C6" s="66"/>
      <c r="D6" s="10"/>
      <c r="E6" s="214"/>
      <c r="F6" s="214"/>
    </row>
    <row r="7" spans="1:10" x14ac:dyDescent="0.2">
      <c r="B7" s="66"/>
      <c r="C7" s="66"/>
    </row>
    <row r="8" spans="1:10" ht="11.25" customHeight="1" x14ac:dyDescent="0.2">
      <c r="B8" s="118"/>
      <c r="C8" s="68"/>
      <c r="D8" s="21"/>
      <c r="E8" s="21"/>
      <c r="F8" s="21"/>
      <c r="G8" s="21"/>
      <c r="H8" s="21"/>
      <c r="I8" s="22"/>
    </row>
    <row r="9" spans="1:10" x14ac:dyDescent="0.2">
      <c r="B9" s="119"/>
      <c r="C9" s="66"/>
      <c r="I9" s="24"/>
    </row>
    <row r="10" spans="1:10" ht="18" customHeight="1" x14ac:dyDescent="0.2">
      <c r="B10" s="120" t="str">
        <f>IF($J$10=TRUE,"Corporate Name:","Razão Social:")</f>
        <v>Razão Social:</v>
      </c>
      <c r="C10" s="204"/>
      <c r="D10" s="204"/>
      <c r="E10" s="204"/>
      <c r="F10" s="204"/>
      <c r="G10" s="204"/>
      <c r="H10" s="204"/>
      <c r="I10" s="26"/>
      <c r="J10" s="128" t="b">
        <v>0</v>
      </c>
    </row>
    <row r="11" spans="1:10" ht="18" customHeight="1" x14ac:dyDescent="0.2">
      <c r="B11" s="120" t="str">
        <f>IF($J$10=TRUE,"Fantasy Name:","Nome Fantasia:")</f>
        <v>Nome Fantasia:</v>
      </c>
      <c r="C11" s="204"/>
      <c r="D11" s="204"/>
      <c r="E11" s="204"/>
      <c r="F11" s="204"/>
      <c r="G11" s="204"/>
      <c r="H11" s="204"/>
      <c r="I11" s="24"/>
    </row>
    <row r="12" spans="1:10" ht="18" customHeight="1" x14ac:dyDescent="0.2">
      <c r="B12" s="120" t="str">
        <f>IF($J$10=TRUE,"TIN:","CNPJ:")</f>
        <v>CNPJ:</v>
      </c>
      <c r="C12" s="204"/>
      <c r="D12" s="204"/>
      <c r="E12" s="204"/>
      <c r="F12" s="204"/>
      <c r="G12" s="204"/>
      <c r="H12" s="204"/>
      <c r="I12" s="26"/>
    </row>
    <row r="13" spans="1:10" ht="18" customHeight="1" x14ac:dyDescent="0.2">
      <c r="B13" s="120" t="str">
        <f>IF($J$10=TRUE,"Adress:","Endereço:")</f>
        <v>Endereço:</v>
      </c>
      <c r="C13" s="204"/>
      <c r="D13" s="204"/>
      <c r="E13" s="204"/>
      <c r="F13" s="204"/>
      <c r="G13" s="204"/>
      <c r="H13" s="204"/>
      <c r="I13" s="26"/>
    </row>
    <row r="14" spans="1:10" ht="18" customHeight="1" x14ac:dyDescent="0.2">
      <c r="B14" s="244" t="str">
        <f>IF($J$10=TRUE,"Product supplied to ICC Brazil:","Produto (s) fornecido (s) para a ICC:")</f>
        <v>Produto (s) fornecido (s) para a ICC:</v>
      </c>
      <c r="C14" s="245"/>
      <c r="D14" s="174"/>
      <c r="E14" s="174"/>
      <c r="F14" s="174"/>
      <c r="G14" s="174"/>
      <c r="H14" s="174"/>
      <c r="I14" s="24"/>
    </row>
    <row r="15" spans="1:10" ht="18" customHeight="1" x14ac:dyDescent="0.2">
      <c r="B15" s="244" t="str">
        <f>IF($J$10=TRUE,"CEO:","Responsável Técnico:")</f>
        <v>Responsável Técnico:</v>
      </c>
      <c r="C15" s="245"/>
      <c r="D15" s="131"/>
      <c r="E15" s="131"/>
      <c r="F15" s="131"/>
      <c r="G15" s="131"/>
      <c r="H15" s="131"/>
      <c r="I15" s="24"/>
    </row>
    <row r="16" spans="1:10" ht="22.5" customHeight="1" x14ac:dyDescent="0.2">
      <c r="B16" s="89"/>
      <c r="C16" s="71"/>
      <c r="D16" s="246"/>
      <c r="E16" s="246"/>
      <c r="F16" s="246"/>
      <c r="G16" s="246"/>
      <c r="H16" s="246"/>
      <c r="I16" s="31"/>
    </row>
    <row r="17" spans="2:10" x14ac:dyDescent="0.2">
      <c r="B17" s="72"/>
      <c r="C17" s="72"/>
    </row>
    <row r="18" spans="2:10" x14ac:dyDescent="0.2">
      <c r="B18" s="72"/>
      <c r="C18" s="72"/>
    </row>
    <row r="19" spans="2:10" x14ac:dyDescent="0.2">
      <c r="B19" s="122"/>
      <c r="C19" s="73"/>
      <c r="D19" s="21"/>
      <c r="E19" s="21"/>
      <c r="F19" s="21"/>
      <c r="G19" s="21"/>
      <c r="H19" s="21"/>
      <c r="I19" s="22"/>
    </row>
    <row r="20" spans="2:10" x14ac:dyDescent="0.2">
      <c r="B20" s="121"/>
      <c r="C20" s="205" t="str">
        <f>IF($J$10=TRUE,"Please select the submitted documents below","Selecione abaixo os documentos enviados.")</f>
        <v>Selecione abaixo os documentos enviados.</v>
      </c>
      <c r="D20" s="205"/>
      <c r="E20" s="205"/>
      <c r="F20" s="205"/>
      <c r="G20" s="205"/>
      <c r="H20" s="205"/>
      <c r="I20" s="24"/>
    </row>
    <row r="21" spans="2:10" x14ac:dyDescent="0.2">
      <c r="B21" s="121"/>
      <c r="C21" s="114" t="str">
        <f>IF($J$10=TRUE,"REQUIREMENT","REQUISITO")</f>
        <v>REQUISITO</v>
      </c>
      <c r="D21" s="206" t="str">
        <f>IF($J$10=TRUE,"SENT","ENVIADO")</f>
        <v>ENVIADO</v>
      </c>
      <c r="E21" s="206"/>
      <c r="F21" s="187" t="str">
        <f>IF($J$10=TRUE,"DOCUMENTS","DOCUMENTOS")</f>
        <v>DOCUMENTOS</v>
      </c>
      <c r="G21" s="188"/>
      <c r="H21" s="189"/>
      <c r="I21" s="24"/>
    </row>
    <row r="22" spans="2:10" x14ac:dyDescent="0.2">
      <c r="B22" s="121"/>
      <c r="C22" s="47" t="str">
        <f>IF($J$10=TRUE,"Mandatory","Obrigatório")</f>
        <v>Obrigatório</v>
      </c>
      <c r="D22" s="201"/>
      <c r="E22" s="201"/>
      <c r="F22" s="217" t="str">
        <f>IF($J$10=TRUE,"Government-issued operating license","Alvará da Prefeitura")</f>
        <v>Alvará da Prefeitura</v>
      </c>
      <c r="G22" s="218"/>
      <c r="H22" s="219"/>
      <c r="I22" s="24"/>
    </row>
    <row r="23" spans="2:10" x14ac:dyDescent="0.2">
      <c r="B23" s="62"/>
      <c r="C23" s="47" t="str">
        <f t="shared" ref="C23:C30" si="0">IF($J$10=TRUE,"Mandatory","Obrigatório")</f>
        <v>Obrigatório</v>
      </c>
      <c r="D23" s="201"/>
      <c r="E23" s="201"/>
      <c r="F23" s="217" t="str">
        <f>IF($J$10=TRUE,"Scope of analysis","Escopo de análises")</f>
        <v>Escopo de análises</v>
      </c>
      <c r="G23" s="218"/>
      <c r="H23" s="219"/>
      <c r="I23" s="24"/>
    </row>
    <row r="24" spans="2:10" x14ac:dyDescent="0.2">
      <c r="B24" s="62"/>
      <c r="C24" s="47" t="str">
        <f t="shared" si="0"/>
        <v>Obrigatório</v>
      </c>
      <c r="D24" s="201"/>
      <c r="E24" s="201"/>
      <c r="F24" s="217" t="str">
        <f>IF($J$10=TRUE,"License issued by the environmental agency","Licença de Operação")</f>
        <v>Licença de Operação</v>
      </c>
      <c r="G24" s="218"/>
      <c r="H24" s="219"/>
      <c r="I24" s="24"/>
    </row>
    <row r="25" spans="2:10" x14ac:dyDescent="0.2">
      <c r="B25" s="62"/>
      <c r="C25" s="47" t="str">
        <f t="shared" si="0"/>
        <v>Obrigatório</v>
      </c>
      <c r="D25" s="201"/>
      <c r="E25" s="201"/>
      <c r="F25" s="217" t="str">
        <f>IF($J$10=TRUE,"License issued by the health agency","Licença da Vigilância Sanitária")</f>
        <v>Licença da Vigilância Sanitária</v>
      </c>
      <c r="G25" s="218"/>
      <c r="H25" s="219"/>
      <c r="I25" s="24"/>
    </row>
    <row r="26" spans="2:10" x14ac:dyDescent="0.2">
      <c r="B26" s="62"/>
      <c r="C26" s="47" t="str">
        <f t="shared" si="0"/>
        <v>Obrigatório</v>
      </c>
      <c r="D26" s="201"/>
      <c r="E26" s="201"/>
      <c r="F26" s="217" t="str">
        <f>IF($J$10=TRUE,"Fire department license, if applicable","Auto de Vistoria do Corpo de Bombeiros (AVCB)")</f>
        <v>Auto de Vistoria do Corpo de Bombeiros (AVCB)</v>
      </c>
      <c r="G26" s="218"/>
      <c r="H26" s="219"/>
      <c r="I26" s="24"/>
    </row>
    <row r="27" spans="2:10" x14ac:dyDescent="0.2">
      <c r="B27" s="62"/>
      <c r="C27" s="47" t="str">
        <f t="shared" si="0"/>
        <v>Obrigatório</v>
      </c>
      <c r="D27" s="201"/>
      <c r="E27" s="201"/>
      <c r="F27" s="217" t="str">
        <f>IF($J$10=TRUE,"Declaration of technical responsibility of CEO","Anotação do Responsável Técnico (ART)")</f>
        <v>Anotação do Responsável Técnico (ART)</v>
      </c>
      <c r="G27" s="218"/>
      <c r="H27" s="219"/>
      <c r="I27" s="24"/>
    </row>
    <row r="28" spans="2:10" x14ac:dyDescent="0.2">
      <c r="B28" s="62"/>
      <c r="C28" s="47" t="str">
        <f t="shared" si="0"/>
        <v>Obrigatório</v>
      </c>
      <c r="D28" s="201"/>
      <c r="E28" s="201"/>
      <c r="F28" s="217" t="str">
        <f>IF($J$10=TRUE,"Police License, if applicable","Licença da Polícia Federal")</f>
        <v>Licença da Polícia Federal</v>
      </c>
      <c r="G28" s="218"/>
      <c r="H28" s="219"/>
      <c r="I28" s="24"/>
    </row>
    <row r="29" spans="2:10" x14ac:dyDescent="0.2">
      <c r="B29" s="62"/>
      <c r="C29" s="47" t="str">
        <f t="shared" si="0"/>
        <v>Obrigatório</v>
      </c>
      <c r="D29" s="201"/>
      <c r="E29" s="201"/>
      <c r="F29" s="217" t="str">
        <f>IF($J$10=TRUE,"Certifications","Certificações")</f>
        <v>Certificações</v>
      </c>
      <c r="G29" s="218"/>
      <c r="H29" s="219"/>
      <c r="I29" s="24"/>
    </row>
    <row r="30" spans="2:10" x14ac:dyDescent="0.2">
      <c r="B30" s="62"/>
      <c r="C30" s="47" t="str">
        <f t="shared" si="0"/>
        <v>Obrigatório</v>
      </c>
      <c r="D30" s="201"/>
      <c r="E30" s="201"/>
      <c r="F30" s="217" t="str">
        <f>IF($J$10=TRUE,"Scope of analysis for each certification","Escopo de análise de cada certificação")</f>
        <v>Escopo de análise de cada certificação</v>
      </c>
      <c r="G30" s="218"/>
      <c r="H30" s="219"/>
      <c r="I30" s="24"/>
    </row>
    <row r="31" spans="2:10" ht="24.75" customHeight="1" x14ac:dyDescent="0.2">
      <c r="B31" s="62"/>
      <c r="C31" s="46" t="str">
        <f>IF($J$10=TRUE,"Differencial","Diferencial")</f>
        <v>Diferencial</v>
      </c>
      <c r="D31" s="201"/>
      <c r="E31" s="201"/>
      <c r="F31" s="217" t="str">
        <f>IF($J$10=TRUE,"Water Potability Report, in accordance with current legislation","Laudo de Potabilidade de Água, conforme legislação vigente")</f>
        <v>Laudo de Potabilidade de Água, conforme legislação vigente</v>
      </c>
      <c r="G31" s="218"/>
      <c r="H31" s="219"/>
      <c r="I31" s="24"/>
    </row>
    <row r="32" spans="2:10" x14ac:dyDescent="0.2">
      <c r="B32" s="123"/>
      <c r="C32" s="46" t="str">
        <f>IF($J$10=TRUE,"Differencial","Diferencial")</f>
        <v>Diferencial</v>
      </c>
      <c r="D32" s="247"/>
      <c r="E32" s="247"/>
      <c r="F32" s="221" t="str">
        <f>IF($J$10=TRUE,"","Credenciamento ou Licença do MAPA")</f>
        <v>Credenciamento ou Licença do MAPA</v>
      </c>
      <c r="G32" s="222"/>
      <c r="H32" s="223"/>
      <c r="I32" s="38"/>
      <c r="J32" s="32"/>
    </row>
    <row r="33" spans="2:10" x14ac:dyDescent="0.2">
      <c r="B33" s="62"/>
      <c r="I33" s="24"/>
    </row>
    <row r="34" spans="2:10" x14ac:dyDescent="0.2">
      <c r="B34" s="89"/>
      <c r="C34" s="71"/>
      <c r="D34" s="30"/>
      <c r="E34" s="30"/>
      <c r="F34" s="30"/>
      <c r="G34" s="30"/>
      <c r="H34" s="30"/>
      <c r="I34" s="31"/>
    </row>
    <row r="36" spans="2:10" x14ac:dyDescent="0.2">
      <c r="D36" s="154"/>
      <c r="E36" s="154"/>
      <c r="F36" s="154"/>
      <c r="G36" s="154"/>
      <c r="H36" s="154"/>
      <c r="I36" s="154"/>
      <c r="J36" s="139"/>
    </row>
    <row r="37" spans="2:10" x14ac:dyDescent="0.2">
      <c r="B37" s="124"/>
      <c r="C37" s="69"/>
      <c r="D37" s="42"/>
      <c r="E37" s="42"/>
      <c r="F37" s="42"/>
      <c r="G37" s="42"/>
      <c r="H37" s="42"/>
      <c r="I37" s="43"/>
      <c r="J37" s="40"/>
    </row>
    <row r="38" spans="2:10" x14ac:dyDescent="0.2">
      <c r="B38" s="62"/>
      <c r="I38" s="24"/>
    </row>
    <row r="39" spans="2:10" ht="24.75" customHeight="1" x14ac:dyDescent="0.2">
      <c r="B39" s="236" t="str">
        <f>IF($J$10=TRUE,"Read each statement and mark with an X in the column according to the company's service in the item.","Por favor, leia cada enunciado e assinale com um X na coluna correspondente ao atendimento da empresa para o respectivo item.")</f>
        <v>Por favor, leia cada enunciado e assinale com um X na coluna correspondente ao atendimento da empresa para o respectivo item.</v>
      </c>
      <c r="C39" s="237"/>
      <c r="D39" s="237"/>
      <c r="E39" s="237"/>
      <c r="F39" s="237"/>
      <c r="G39" s="237"/>
      <c r="H39" s="237"/>
      <c r="I39" s="238"/>
    </row>
    <row r="40" spans="2:10" ht="24.75" customHeight="1" x14ac:dyDescent="0.2">
      <c r="B40" s="167" t="str">
        <f>IF($J$10=TRUE,"QUALITY AND FOOD SAFETY MANAGEMENT SYSTEM","SISTEMA DE GESTÃO DA QUALIDADE E SEGURANÇA DE ALIMENTOS")</f>
        <v>SISTEMA DE GESTÃO DA QUALIDADE E SEGURANÇA DE ALIMENTOS</v>
      </c>
      <c r="C40" s="168"/>
      <c r="D40" s="168"/>
      <c r="E40" s="168"/>
      <c r="F40" s="168"/>
      <c r="G40" s="168"/>
      <c r="H40" s="168"/>
      <c r="I40" s="169"/>
    </row>
    <row r="41" spans="2:10" ht="36.6" customHeight="1" x14ac:dyDescent="0.2">
      <c r="B41" s="170" t="str">
        <f>IF($J$10=TRUE,"Items (Answer the question with an X. If the answer is NA, please justify the answer at the Observation field.","Itens (Selecione a resposta com X) / Se NA, justificar em Observações")</f>
        <v>Itens (Selecione a resposta com X) / Se NA, justificar em Observações</v>
      </c>
      <c r="C41" s="171"/>
      <c r="D41" s="114" t="str">
        <f>IF($J$10=TRUE,"Yes","Sim")</f>
        <v>Sim</v>
      </c>
      <c r="E41" s="114" t="str">
        <f>IF($J$10=TRUE,"No","Não")</f>
        <v>Não</v>
      </c>
      <c r="F41" s="114" t="str">
        <f>IF($J$10=TRUE,"In progress","Em andamento")</f>
        <v>Em andamento</v>
      </c>
      <c r="G41" s="113" t="str">
        <f>IF($J$10=TRUE,"NA (not applicable)","NA")</f>
        <v>NA</v>
      </c>
      <c r="H41" s="172" t="str">
        <f>IF($J$10=TRUE,"Observation","Observações")</f>
        <v>Observações</v>
      </c>
      <c r="I41" s="173"/>
    </row>
    <row r="42" spans="2:10" s="67" customFormat="1" ht="42" customHeight="1" x14ac:dyDescent="0.2">
      <c r="B42" s="45">
        <v>1</v>
      </c>
      <c r="C42" s="45" t="str">
        <f>IF($J$10=TRUE,"Does the laboratory perform microbiological analyzes separately from other scope analyses?","O laboratório realiza as análises microbiológicas  separadamente das demais análises do escopo?")</f>
        <v>O laboratório realiza as análises microbiológicas  separadamente das demais análises do escopo?</v>
      </c>
      <c r="D42" s="127"/>
      <c r="E42" s="127"/>
      <c r="F42" s="127"/>
      <c r="G42" s="127"/>
      <c r="H42" s="201"/>
      <c r="I42" s="201"/>
    </row>
    <row r="43" spans="2:10" s="67" customFormat="1" ht="47.25" customHeight="1" x14ac:dyDescent="0.2">
      <c r="B43" s="45">
        <v>2</v>
      </c>
      <c r="C43" s="45" t="str">
        <f>IF($J$10=TRUE,"Does the laboratory keep samples retained after analysis? If yes, what is the retention time?","O laboratório mantém as amostras retidas após as análise? Se sim, qual é o tempo de retenção?")</f>
        <v>O laboratório mantém as amostras retidas após as análise? Se sim, qual é o tempo de retenção?</v>
      </c>
      <c r="D43" s="127"/>
      <c r="E43" s="127"/>
      <c r="F43" s="127"/>
      <c r="G43" s="127"/>
      <c r="H43" s="228" t="s">
        <v>45</v>
      </c>
      <c r="I43" s="228"/>
    </row>
    <row r="44" spans="2:10" s="67" customFormat="1" ht="34.15" customHeight="1" x14ac:dyDescent="0.2">
      <c r="B44" s="45">
        <v>3</v>
      </c>
      <c r="C44" s="45" t="str">
        <f>IF($J$10=TRUE,"Does the laboratory accept customer audits?","O laboratório aceita auditoria de clientes?")</f>
        <v>O laboratório aceita auditoria de clientes?</v>
      </c>
      <c r="D44" s="127"/>
      <c r="E44" s="127"/>
      <c r="F44" s="127"/>
      <c r="G44" s="127"/>
      <c r="H44" s="201"/>
      <c r="I44" s="201"/>
    </row>
    <row r="45" spans="2:10" s="67" customFormat="1" ht="34.15" customHeight="1" x14ac:dyDescent="0.2">
      <c r="B45" s="45">
        <v>4</v>
      </c>
      <c r="C45" s="45" t="str">
        <f>IF($J$10=TRUE,"Are measures taken to prevent cross-contamination?","São tomadas medidas para prevenir contaminação cruzada?")</f>
        <v>São tomadas medidas para prevenir contaminação cruzada?</v>
      </c>
      <c r="D45" s="127"/>
      <c r="E45" s="127"/>
      <c r="F45" s="127"/>
      <c r="G45" s="127"/>
      <c r="H45" s="201"/>
      <c r="I45" s="201"/>
    </row>
    <row r="46" spans="2:10" s="67" customFormat="1" ht="42.75" customHeight="1" x14ac:dyDescent="0.2">
      <c r="B46" s="45">
        <v>5</v>
      </c>
      <c r="C46" s="45" t="str">
        <f>IF($J$10=TRUE,"Is access control carried out to areas that affect the quality of tests/calibrations?","É realizado o controle de acesso às áreas que afetam a qualidade dos ensaios/calibrações?")</f>
        <v>É realizado o controle de acesso às áreas que afetam a qualidade dos ensaios/calibrações?</v>
      </c>
      <c r="D46" s="127"/>
      <c r="E46" s="127"/>
      <c r="F46" s="127"/>
      <c r="G46" s="127"/>
      <c r="H46" s="201"/>
      <c r="I46" s="201"/>
    </row>
    <row r="47" spans="2:10" s="67" customFormat="1" ht="56.25" customHeight="1" x14ac:dyDescent="0.2">
      <c r="B47" s="45">
        <v>6</v>
      </c>
      <c r="C47" s="45" t="str">
        <f>IF($J$10=TRUE,"Are safety equipment (eyewash, showers, fire extinguishers and fume hoods) and PPE available and working?","Equipamentos de segurança  (lavador de olhos, chuveiros, extintores e capelas) e EPIs estão disponiveis e funcionando?")</f>
        <v>Equipamentos de segurança  (lavador de olhos, chuveiros, extintores e capelas) e EPIs estão disponiveis e funcionando?</v>
      </c>
      <c r="D47" s="127"/>
      <c r="E47" s="127"/>
      <c r="F47" s="127"/>
      <c r="G47" s="127"/>
      <c r="H47" s="201"/>
      <c r="I47" s="201"/>
    </row>
    <row r="48" spans="2:10" s="67" customFormat="1" ht="53.25" customHeight="1" x14ac:dyDescent="0.2">
      <c r="B48" s="45">
        <v>7</v>
      </c>
      <c r="C48" s="45" t="str">
        <f>IF($J$10=TRUE,"Does the equipment/glassware/accessories exist, are they in good condition and in good working order?","Os equipamentos/vidrarias/acessórios existem, estão em bom estado de conservação e funcionamento?")</f>
        <v>Os equipamentos/vidrarias/acessórios existem, estão em bom estado de conservação e funcionamento?</v>
      </c>
      <c r="D48" s="127"/>
      <c r="E48" s="127"/>
      <c r="F48" s="127"/>
      <c r="G48" s="127"/>
      <c r="H48" s="201"/>
      <c r="I48" s="201"/>
    </row>
    <row r="49" spans="2:9" s="67" customFormat="1" ht="45" customHeight="1" x14ac:dyDescent="0.2">
      <c r="B49" s="45">
        <v>8</v>
      </c>
      <c r="C49" s="45" t="str">
        <f>IF($J$10=TRUE,"Is the laboratory approved by other companies? List your top three customers.","O laboratório é homologado por outras empresas? Liste os três principais clientes.")</f>
        <v>O laboratório é homologado por outras empresas? Liste os três principais clientes.</v>
      </c>
      <c r="D49" s="127"/>
      <c r="E49" s="127"/>
      <c r="F49" s="127"/>
      <c r="G49" s="127"/>
      <c r="H49" s="228" t="s">
        <v>45</v>
      </c>
      <c r="I49" s="228"/>
    </row>
    <row r="50" spans="2:9" s="67" customFormat="1" ht="77.25" customHeight="1" x14ac:dyDescent="0.2">
      <c r="B50" s="45">
        <v>9</v>
      </c>
      <c r="C50" s="45" t="str">
        <f>IF($J$10=TRUE,"The laboratory ensures that no loss, damage or contamination occurs to the sample during storage, handling, preparation and analysis. How? (Make a short summary)","O laboratório garante que nenhuma perda, dano ou contaminação ocorre na amostra durante a armazenagem, manuseio, preparação e análise. Como? (Faça um breve resumo)")</f>
        <v>O laboratório garante que nenhuma perda, dano ou contaminação ocorre na amostra durante a armazenagem, manuseio, preparação e análise. Como? (Faça um breve resumo)</v>
      </c>
      <c r="D50" s="127"/>
      <c r="E50" s="127"/>
      <c r="F50" s="127"/>
      <c r="G50" s="127"/>
      <c r="H50" s="228" t="s">
        <v>45</v>
      </c>
      <c r="I50" s="228"/>
    </row>
    <row r="51" spans="2:9" ht="48" customHeight="1" x14ac:dyDescent="0.2">
      <c r="B51" s="45">
        <v>10</v>
      </c>
      <c r="C51" s="45" t="str">
        <f>IF($J$10=TRUE,"Are the analytical results evaluated and validated by the laboratory manager?","Os resultados analíticos são avaliados e validados pelo responsável do Laboratório?")</f>
        <v>Os resultados analíticos são avaliados e validados pelo responsável do Laboratório?</v>
      </c>
      <c r="D51" s="129"/>
      <c r="E51" s="129"/>
      <c r="F51" s="129"/>
      <c r="G51" s="129"/>
      <c r="H51" s="166"/>
      <c r="I51" s="166"/>
    </row>
    <row r="52" spans="2:9" ht="13.5" customHeight="1" x14ac:dyDescent="0.2">
      <c r="B52" s="63"/>
      <c r="C52" s="63"/>
      <c r="H52" s="48"/>
      <c r="I52" s="48"/>
    </row>
    <row r="53" spans="2:9" ht="48" customHeight="1" x14ac:dyDescent="0.2">
      <c r="B53" s="239" t="str">
        <f>IF($J$10=TRUE,"I declare that all information is true and that any changes in the manufacturing process, specification, or any other changes that impact the quality and/or traceability of the product supplied will be duly communicated to ICC Brazil.","Declaro que todas as informações são verídicas e que qualquer alteração no processo de fabricação, especificação, ou quaisquer outras mudanças que impactem na qualidade e/ou rastreabilidade do produto fornecido serão devidamente comunicados a ICC Brazil.")</f>
        <v>Declaro que todas as informações são verídicas e que qualquer alteração no processo de fabricação, especificação, ou quaisquer outras mudanças que impactem na qualidade e/ou rastreabilidade do produto fornecido serão devidamente comunicados a ICC Brazil.</v>
      </c>
      <c r="C53" s="239"/>
      <c r="D53" s="239"/>
      <c r="E53" s="239"/>
      <c r="F53" s="239"/>
      <c r="G53" s="239"/>
      <c r="H53" s="239"/>
      <c r="I53" s="239"/>
    </row>
    <row r="55" spans="2:9" ht="25.5" x14ac:dyDescent="0.2">
      <c r="C55" s="125" t="str">
        <f>IF($J$10=TRUE,"Responsible for completing:","Responsável pelo preenchimento:")</f>
        <v>Responsável pelo preenchimento:</v>
      </c>
      <c r="D55" s="166"/>
      <c r="E55" s="166"/>
      <c r="F55" s="166"/>
      <c r="G55" s="166"/>
      <c r="H55" s="166"/>
    </row>
    <row r="56" spans="2:9" x14ac:dyDescent="0.2">
      <c r="C56" s="125" t="str">
        <f>IF($J$10=TRUE,"Job Title:","Cargo:")</f>
        <v>Cargo:</v>
      </c>
      <c r="D56" s="166"/>
      <c r="E56" s="166"/>
      <c r="F56" s="166"/>
      <c r="G56" s="166"/>
      <c r="H56" s="166"/>
    </row>
    <row r="57" spans="2:9" x14ac:dyDescent="0.2">
      <c r="C57" s="125" t="str">
        <f>IF($J$10=TRUE,"Date:","Data:")</f>
        <v>Data:</v>
      </c>
      <c r="D57" s="166"/>
      <c r="E57" s="166"/>
      <c r="F57" s="166"/>
      <c r="G57" s="166"/>
      <c r="H57" s="166"/>
    </row>
    <row r="61" spans="2:9" x14ac:dyDescent="0.2">
      <c r="C61" s="181"/>
      <c r="D61" s="181"/>
      <c r="E61" s="181"/>
      <c r="F61" s="181"/>
      <c r="G61" s="181"/>
      <c r="H61" s="181"/>
    </row>
    <row r="62" spans="2:9" x14ac:dyDescent="0.2">
      <c r="C62" s="175" t="str">
        <f>IF($J$10=TRUE,"Signature","Assinatura")</f>
        <v>Assinatura</v>
      </c>
      <c r="D62" s="176"/>
      <c r="E62" s="176"/>
      <c r="F62" s="176"/>
      <c r="G62" s="176"/>
      <c r="H62" s="176"/>
    </row>
  </sheetData>
  <sheetProtection algorithmName="SHA-512" hashValue="aXZMUeatlqbKqC8R/upbT2U871fxnXMlSfiP91h/jBwdyXYiytJC5kKYtiCXiVqxsjj1qcgDPGhI5+JCKeUu8A==" saltValue="Ngj1a/t7Mq1M+8at/obPeg==" spinCount="100000" sheet="1"/>
  <mergeCells count="60">
    <mergeCell ref="F21:H21"/>
    <mergeCell ref="F22:H22"/>
    <mergeCell ref="F23:H23"/>
    <mergeCell ref="F24:H24"/>
    <mergeCell ref="F25:H25"/>
    <mergeCell ref="D26:E26"/>
    <mergeCell ref="D27:E27"/>
    <mergeCell ref="B40:I40"/>
    <mergeCell ref="B39:I39"/>
    <mergeCell ref="F27:H27"/>
    <mergeCell ref="F28:H28"/>
    <mergeCell ref="D29:E29"/>
    <mergeCell ref="F30:H30"/>
    <mergeCell ref="F26:H26"/>
    <mergeCell ref="D28:E28"/>
    <mergeCell ref="D31:E31"/>
    <mergeCell ref="D30:E30"/>
    <mergeCell ref="D32:E32"/>
    <mergeCell ref="D21:E21"/>
    <mergeCell ref="D22:E22"/>
    <mergeCell ref="D23:E23"/>
    <mergeCell ref="D24:E24"/>
    <mergeCell ref="D25:E25"/>
    <mergeCell ref="H49:I49"/>
    <mergeCell ref="H42:I42"/>
    <mergeCell ref="H41:I41"/>
    <mergeCell ref="F31:H31"/>
    <mergeCell ref="F29:H29"/>
    <mergeCell ref="F32:H32"/>
    <mergeCell ref="C20:H20"/>
    <mergeCell ref="J1:J2"/>
    <mergeCell ref="J3:J4"/>
    <mergeCell ref="C10:H10"/>
    <mergeCell ref="C11:H11"/>
    <mergeCell ref="B14:C14"/>
    <mergeCell ref="A1:B4"/>
    <mergeCell ref="C1:I4"/>
    <mergeCell ref="B5:H5"/>
    <mergeCell ref="E6:F6"/>
    <mergeCell ref="B15:C15"/>
    <mergeCell ref="D16:H16"/>
    <mergeCell ref="C12:H12"/>
    <mergeCell ref="C13:H13"/>
    <mergeCell ref="D14:H14"/>
    <mergeCell ref="C62:H62"/>
    <mergeCell ref="D56:H56"/>
    <mergeCell ref="D57:H57"/>
    <mergeCell ref="C61:H61"/>
    <mergeCell ref="D36:J36"/>
    <mergeCell ref="B53:I53"/>
    <mergeCell ref="D55:H55"/>
    <mergeCell ref="H50:I50"/>
    <mergeCell ref="H45:I45"/>
    <mergeCell ref="H46:I46"/>
    <mergeCell ref="B41:C41"/>
    <mergeCell ref="H51:I51"/>
    <mergeCell ref="H43:I43"/>
    <mergeCell ref="H44:I44"/>
    <mergeCell ref="H47:I47"/>
    <mergeCell ref="H48:I48"/>
  </mergeCells>
  <dataValidations count="1">
    <dataValidation type="list" allowBlank="1" showInputMessage="1" showErrorMessage="1" sqref="D22:E32">
      <formula1>"SIM/YES,NÃO/NO"</formula1>
    </dataValidation>
  </dataValidations>
  <pageMargins left="0.511811024" right="0.511811024" top="0.78740157499999996" bottom="0.78740157499999996" header="0.31496062000000002" footer="0.31496062000000002"/>
  <pageSetup paperSize="9" orientation="portrait" horizontalDpi="0"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46554" r:id="rId4" name="Check Box 1498">
              <controlPr locked="0" defaultSize="0" autoFill="0" autoLine="0" autoPict="0">
                <anchor moveWithCells="1">
                  <from>
                    <xdr:col>3</xdr:col>
                    <xdr:colOff>285750</xdr:colOff>
                    <xdr:row>4</xdr:row>
                    <xdr:rowOff>400050</xdr:rowOff>
                  </from>
                  <to>
                    <xdr:col>5</xdr:col>
                    <xdr:colOff>476250</xdr:colOff>
                    <xdr:row>6</xdr:row>
                    <xdr:rowOff>114300</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16">
    <tabColor theme="0"/>
  </sheetPr>
  <dimension ref="A1:K71"/>
  <sheetViews>
    <sheetView showGridLines="0" zoomScaleNormal="100" workbookViewId="0">
      <selection activeCell="J5" sqref="J5"/>
    </sheetView>
  </sheetViews>
  <sheetFormatPr defaultColWidth="0" defaultRowHeight="12.75" x14ac:dyDescent="0.2"/>
  <cols>
    <col min="1" max="1" width="4.5703125" customWidth="1"/>
    <col min="2" max="2" width="18.7109375" customWidth="1"/>
    <col min="3" max="3" width="28.7109375" customWidth="1"/>
    <col min="4" max="5" width="7.7109375" customWidth="1"/>
    <col min="6" max="6" width="20.7109375" customWidth="1"/>
    <col min="7" max="7" width="7.7109375" customWidth="1"/>
    <col min="8" max="8" width="20.7109375" customWidth="1"/>
    <col min="9" max="9" width="18.7109375" customWidth="1"/>
    <col min="10" max="10" width="15" customWidth="1"/>
    <col min="11" max="11" width="27.42578125" hidden="1" customWidth="1"/>
  </cols>
  <sheetData>
    <row r="1" spans="1:10" ht="12.75" customHeight="1" x14ac:dyDescent="0.2">
      <c r="A1" s="195"/>
      <c r="B1" s="196"/>
      <c r="C1" s="193" t="s">
        <v>49</v>
      </c>
      <c r="D1" s="159"/>
      <c r="E1" s="159"/>
      <c r="F1" s="159"/>
      <c r="G1" s="159"/>
      <c r="H1" s="159"/>
      <c r="I1" s="160"/>
      <c r="J1" s="147" t="s">
        <v>42</v>
      </c>
    </row>
    <row r="2" spans="1:10" ht="12.75" customHeight="1" x14ac:dyDescent="0.2">
      <c r="A2" s="197"/>
      <c r="B2" s="198"/>
      <c r="C2" s="193"/>
      <c r="D2" s="159"/>
      <c r="E2" s="159"/>
      <c r="F2" s="159"/>
      <c r="G2" s="159"/>
      <c r="H2" s="159"/>
      <c r="I2" s="160"/>
      <c r="J2" s="148"/>
    </row>
    <row r="3" spans="1:10" ht="12.75" customHeight="1" x14ac:dyDescent="0.2">
      <c r="A3" s="197"/>
      <c r="B3" s="198"/>
      <c r="C3" s="193"/>
      <c r="D3" s="159"/>
      <c r="E3" s="159"/>
      <c r="F3" s="159"/>
      <c r="G3" s="159"/>
      <c r="H3" s="159"/>
      <c r="I3" s="160"/>
      <c r="J3" s="148" t="s">
        <v>80</v>
      </c>
    </row>
    <row r="4" spans="1:10" ht="13.5" customHeight="1" thickBot="1" x14ac:dyDescent="0.25">
      <c r="A4" s="199"/>
      <c r="B4" s="200"/>
      <c r="C4" s="194"/>
      <c r="D4" s="161"/>
      <c r="E4" s="161"/>
      <c r="F4" s="161"/>
      <c r="G4" s="161"/>
      <c r="H4" s="161"/>
      <c r="I4" s="162"/>
      <c r="J4" s="149"/>
    </row>
    <row r="5" spans="1:10" ht="25.5" customHeight="1" x14ac:dyDescent="0.2">
      <c r="B5" s="203" t="s">
        <v>43</v>
      </c>
      <c r="C5" s="203"/>
      <c r="D5" s="203"/>
      <c r="E5" s="203"/>
      <c r="F5" s="203"/>
      <c r="G5" s="203"/>
      <c r="H5" s="203"/>
    </row>
    <row r="6" spans="1:10" x14ac:dyDescent="0.2">
      <c r="B6" s="10"/>
      <c r="C6" s="111"/>
      <c r="D6" s="10"/>
      <c r="E6" s="214"/>
      <c r="F6" s="214"/>
    </row>
    <row r="7" spans="1:10" x14ac:dyDescent="0.2">
      <c r="B7" s="10"/>
      <c r="C7" s="10"/>
    </row>
    <row r="8" spans="1:10" ht="11.25" customHeight="1" x14ac:dyDescent="0.2">
      <c r="B8" s="19"/>
      <c r="C8" s="20"/>
      <c r="D8" s="21"/>
      <c r="E8" s="21"/>
      <c r="F8" s="21"/>
      <c r="G8" s="21"/>
      <c r="H8" s="21"/>
      <c r="I8" s="22"/>
    </row>
    <row r="9" spans="1:10" x14ac:dyDescent="0.2">
      <c r="B9" s="23"/>
      <c r="C9" s="10"/>
      <c r="I9" s="24"/>
    </row>
    <row r="10" spans="1:10" ht="18" customHeight="1" x14ac:dyDescent="0.25">
      <c r="B10" s="25" t="str">
        <f>IF($J$10=TRUE,"Corporate Name:","Razão Social:")</f>
        <v>Razão Social:</v>
      </c>
      <c r="C10" s="248"/>
      <c r="D10" s="248"/>
      <c r="E10" s="248"/>
      <c r="F10" s="248"/>
      <c r="G10" s="248"/>
      <c r="H10" s="248"/>
      <c r="I10" s="26"/>
      <c r="J10" s="128" t="b">
        <v>0</v>
      </c>
    </row>
    <row r="11" spans="1:10" ht="18" customHeight="1" x14ac:dyDescent="0.25">
      <c r="B11" s="25" t="str">
        <f>IF($J$10=TRUE,"Fantasy Name:","Nome Fantasia:")</f>
        <v>Nome Fantasia:</v>
      </c>
      <c r="C11" s="204"/>
      <c r="D11" s="204"/>
      <c r="E11" s="204"/>
      <c r="F11" s="204"/>
      <c r="G11" s="204"/>
      <c r="H11" s="204"/>
      <c r="I11" s="24"/>
    </row>
    <row r="12" spans="1:10" ht="18" customHeight="1" x14ac:dyDescent="0.25">
      <c r="B12" s="25" t="str">
        <f>IF($J$10=TRUE,"TIN:","CNPJ:")</f>
        <v>CNPJ:</v>
      </c>
      <c r="C12" s="204"/>
      <c r="D12" s="204"/>
      <c r="E12" s="204"/>
      <c r="F12" s="204"/>
      <c r="G12" s="204"/>
      <c r="H12" s="204"/>
      <c r="I12" s="26"/>
    </row>
    <row r="13" spans="1:10" ht="18" customHeight="1" x14ac:dyDescent="0.25">
      <c r="B13" s="25" t="str">
        <f>IF($J$10=TRUE,"Adress:","Endereço:")</f>
        <v>Endereço:</v>
      </c>
      <c r="C13" s="204"/>
      <c r="D13" s="204"/>
      <c r="E13" s="204"/>
      <c r="F13" s="204"/>
      <c r="G13" s="204"/>
      <c r="H13" s="204"/>
      <c r="I13" s="26"/>
    </row>
    <row r="14" spans="1:10" ht="18" customHeight="1" x14ac:dyDescent="0.2">
      <c r="B14" s="164" t="str">
        <f>IF($J$10=TRUE,"Product supplied to ICC Brazil:","Produto (s) fornecido (s) para a ICC:")</f>
        <v>Produto (s) fornecido (s) para a ICC:</v>
      </c>
      <c r="C14" s="165"/>
      <c r="D14" s="216"/>
      <c r="E14" s="216"/>
      <c r="F14" s="216"/>
      <c r="G14" s="216"/>
      <c r="H14" s="216"/>
      <c r="I14" s="24"/>
    </row>
    <row r="15" spans="1:10" ht="18" customHeight="1" x14ac:dyDescent="0.2">
      <c r="B15" s="164" t="str">
        <f>IF($J$10=TRUE,"CEO:","Responsável Técnico:")</f>
        <v>Responsável Técnico:</v>
      </c>
      <c r="C15" s="165"/>
      <c r="D15" s="216"/>
      <c r="E15" s="216"/>
      <c r="F15" s="216"/>
      <c r="G15" s="216"/>
      <c r="H15" s="216"/>
      <c r="I15" s="24"/>
    </row>
    <row r="16" spans="1:10" x14ac:dyDescent="0.2">
      <c r="B16" s="28"/>
      <c r="C16" s="29"/>
      <c r="D16" s="30"/>
      <c r="E16" s="30"/>
      <c r="F16" s="30"/>
      <c r="G16" s="30"/>
      <c r="H16" s="30"/>
      <c r="I16" s="31"/>
    </row>
    <row r="17" spans="2:10" x14ac:dyDescent="0.2">
      <c r="B17" s="16"/>
      <c r="C17" s="16"/>
    </row>
    <row r="18" spans="2:10" x14ac:dyDescent="0.2">
      <c r="B18" s="16"/>
      <c r="C18" s="16"/>
    </row>
    <row r="19" spans="2:10" x14ac:dyDescent="0.2">
      <c r="B19" s="33"/>
      <c r="C19" s="34"/>
      <c r="D19" s="21"/>
      <c r="E19" s="21"/>
      <c r="F19" s="21"/>
      <c r="G19" s="21"/>
      <c r="H19" s="21"/>
      <c r="I19" s="22"/>
    </row>
    <row r="20" spans="2:10" x14ac:dyDescent="0.2">
      <c r="B20" s="35"/>
      <c r="C20" s="205" t="str">
        <f>IF($J$10=TRUE,"Please select the submitted documents below","Selecione abaixo os documentos enviados.")</f>
        <v>Selecione abaixo os documentos enviados.</v>
      </c>
      <c r="D20" s="205"/>
      <c r="E20" s="205"/>
      <c r="F20" s="205"/>
      <c r="G20" s="205"/>
      <c r="H20" s="205"/>
      <c r="I20" s="24"/>
    </row>
    <row r="21" spans="2:10" x14ac:dyDescent="0.2">
      <c r="B21" s="35"/>
      <c r="C21" s="44" t="str">
        <f>IF($J$10=TRUE,"REQUIREMENT","REQUISITO")</f>
        <v>REQUISITO</v>
      </c>
      <c r="D21" s="206" t="str">
        <f>IF($J$10=TRUE,"SENT","ENVIADO")</f>
        <v>ENVIADO</v>
      </c>
      <c r="E21" s="206"/>
      <c r="F21" s="187" t="str">
        <f>IF($J$10=TRUE,"DOCUMENTS","DOCUMENTOS")</f>
        <v>DOCUMENTOS</v>
      </c>
      <c r="G21" s="188"/>
      <c r="H21" s="189"/>
      <c r="I21" s="24"/>
    </row>
    <row r="22" spans="2:10" x14ac:dyDescent="0.2">
      <c r="B22" s="35"/>
      <c r="C22" s="47" t="str">
        <f>IF($J$10=TRUE,"Mandatory","Obrigatório")</f>
        <v>Obrigatório</v>
      </c>
      <c r="D22" s="201"/>
      <c r="E22" s="201"/>
      <c r="F22" s="217" t="str">
        <f>IF($J$10=TRUE,"Government-issued operating license","Alvará da Prefeitura")</f>
        <v>Alvará da Prefeitura</v>
      </c>
      <c r="G22" s="218"/>
      <c r="H22" s="219"/>
      <c r="I22" s="24"/>
    </row>
    <row r="23" spans="2:10" x14ac:dyDescent="0.2">
      <c r="B23" s="35"/>
      <c r="C23" s="47" t="str">
        <f>IF($J$10=TRUE,"Mandatory","Obrigatório")</f>
        <v>Obrigatório</v>
      </c>
      <c r="D23" s="201"/>
      <c r="E23" s="201"/>
      <c r="F23" s="217" t="str">
        <f>IF($J$10=TRUE,"Declaration of technical responsibility of CEO","Anotação do Responsável Técnico (ART)")</f>
        <v>Anotação do Responsável Técnico (ART)</v>
      </c>
      <c r="G23" s="218"/>
      <c r="H23" s="219"/>
      <c r="I23" s="24"/>
    </row>
    <row r="24" spans="2:10" x14ac:dyDescent="0.2">
      <c r="B24" s="35"/>
      <c r="C24" s="47" t="str">
        <f>IF($J$10=TRUE,"Mandatory","Obrigatório")</f>
        <v>Obrigatório</v>
      </c>
      <c r="D24" s="201"/>
      <c r="E24" s="201"/>
      <c r="F24" s="217" t="str">
        <f>IF($J$10=TRUE,"Technical proposal","Proposta técnica")</f>
        <v>Proposta técnica</v>
      </c>
      <c r="G24" s="218"/>
      <c r="H24" s="219"/>
      <c r="I24" s="24"/>
    </row>
    <row r="25" spans="2:10" x14ac:dyDescent="0.2">
      <c r="B25" s="36"/>
      <c r="C25" s="47" t="str">
        <f>IF($J$10=TRUE,"Mandatory","Obrigatório")</f>
        <v>Obrigatório</v>
      </c>
      <c r="D25" s="201"/>
      <c r="E25" s="201"/>
      <c r="F25" s="217" t="str">
        <f>IF($J$10=TRUE,"Power of attorney for foreign trade purposes","Procuração para fins de Comercio exterior")</f>
        <v>Procuração para fins de Comercio exterior</v>
      </c>
      <c r="G25" s="218"/>
      <c r="H25" s="219"/>
      <c r="I25" s="24"/>
    </row>
    <row r="26" spans="2:10" x14ac:dyDescent="0.2">
      <c r="B26" s="36"/>
      <c r="C26" s="47" t="str">
        <f>IF($J$10=TRUE,"","Obrigatório")</f>
        <v>Obrigatório</v>
      </c>
      <c r="D26" s="201"/>
      <c r="E26" s="201"/>
      <c r="F26" s="217" t="str">
        <f>IF($J$10=TRUE,"","AFE - Autorização de Funcionamento Anvisa")</f>
        <v>AFE - Autorização de Funcionamento Anvisa</v>
      </c>
      <c r="G26" s="218"/>
      <c r="H26" s="219"/>
      <c r="I26" s="24"/>
    </row>
    <row r="27" spans="2:10" x14ac:dyDescent="0.2">
      <c r="B27" s="36"/>
      <c r="C27" s="47" t="str">
        <f>IF($J$10=TRUE,"","Obrigatório")</f>
        <v>Obrigatório</v>
      </c>
      <c r="D27" s="201"/>
      <c r="E27" s="201"/>
      <c r="F27" s="217" t="str">
        <f>IF($J$10=TRUE,"","Licença de Funcionamento - Polícia Federal")</f>
        <v>Licença de Funcionamento - Polícia Federal</v>
      </c>
      <c r="G27" s="218"/>
      <c r="H27" s="219"/>
      <c r="I27" s="24"/>
    </row>
    <row r="28" spans="2:10" ht="27" customHeight="1" x14ac:dyDescent="0.2">
      <c r="B28" s="36"/>
      <c r="C28" s="46" t="str">
        <f>IF($J$10=TRUE,"Differencial","Diferencial")</f>
        <v>Diferencial</v>
      </c>
      <c r="D28" s="201"/>
      <c r="E28" s="201"/>
      <c r="F28" s="217" t="str">
        <f>IF($J$10=TRUE,"Food Safety Certificates (e.g., GMP+FSA, FSSC 22000, FAMI QS, BRC...)","Certificados de Segurança de Alimentos (por exemplo, GMP+FSA, FSSC 22000, FAMI QS, BRC...)")</f>
        <v>Certificados de Segurança de Alimentos (por exemplo, GMP+FSA, FSSC 22000, FAMI QS, BRC...)</v>
      </c>
      <c r="G28" s="218"/>
      <c r="H28" s="219"/>
      <c r="I28" s="24"/>
    </row>
    <row r="29" spans="2:10" x14ac:dyDescent="0.2">
      <c r="B29" s="39"/>
      <c r="C29" s="30"/>
      <c r="D29" s="30"/>
      <c r="E29" s="30"/>
      <c r="F29" s="30"/>
      <c r="G29" s="30"/>
      <c r="H29" s="30"/>
      <c r="I29" s="31"/>
    </row>
    <row r="31" spans="2:10" x14ac:dyDescent="0.2">
      <c r="D31" s="154"/>
      <c r="E31" s="154"/>
      <c r="F31" s="154"/>
      <c r="G31" s="154"/>
      <c r="H31" s="154"/>
      <c r="I31" s="154"/>
      <c r="J31" s="139"/>
    </row>
    <row r="32" spans="2:10" x14ac:dyDescent="0.2">
      <c r="B32" s="41"/>
      <c r="C32" s="21"/>
      <c r="D32" s="42"/>
      <c r="E32" s="42"/>
      <c r="F32" s="42"/>
      <c r="G32" s="42"/>
      <c r="H32" s="42"/>
      <c r="I32" s="43"/>
      <c r="J32" s="40"/>
    </row>
    <row r="33" spans="2:9" x14ac:dyDescent="0.2">
      <c r="B33" s="36"/>
      <c r="I33" s="24"/>
    </row>
    <row r="34" spans="2:9" x14ac:dyDescent="0.2">
      <c r="B34" s="236" t="str">
        <f>IF($J$10=TRUE,"Read each statement and mark with an X in the column according to the company's service in the item.","Por favor, leia cada enunciado e assinale com um X na coluna correspondente ao atendimento da empresa para o respectivo item.")</f>
        <v>Por favor, leia cada enunciado e assinale com um X na coluna correspondente ao atendimento da empresa para o respectivo item.</v>
      </c>
      <c r="C34" s="237"/>
      <c r="D34" s="237"/>
      <c r="E34" s="237"/>
      <c r="F34" s="237"/>
      <c r="G34" s="237"/>
      <c r="H34" s="237"/>
      <c r="I34" s="238"/>
    </row>
    <row r="35" spans="2:9" ht="15.75" x14ac:dyDescent="0.2">
      <c r="B35" s="167" t="str">
        <f>IF($J$10=TRUE,"GENERAL ITEMS","ITENS GERAIS")</f>
        <v>ITENS GERAIS</v>
      </c>
      <c r="C35" s="168"/>
      <c r="D35" s="168"/>
      <c r="E35" s="168"/>
      <c r="F35" s="168"/>
      <c r="G35" s="168"/>
      <c r="H35" s="168"/>
      <c r="I35" s="169"/>
    </row>
    <row r="36" spans="2:9" ht="24" customHeight="1" x14ac:dyDescent="0.2">
      <c r="B36" s="170" t="str">
        <f>IF($J$10=TRUE,"Items (Answer the question with an X. If the answer is NA, please justify the answer at the Observation field.","Itens (Selecione a resposta com X) / Se NA, justificar em Observações")</f>
        <v>Itens (Selecione a resposta com X) / Se NA, justificar em Observações</v>
      </c>
      <c r="C36" s="171"/>
      <c r="D36" s="114" t="str">
        <f>IF($J$10=TRUE,"Yes","Sim")</f>
        <v>Sim</v>
      </c>
      <c r="E36" s="114" t="str">
        <f>IF($J$10=TRUE,"No","Não")</f>
        <v>Não</v>
      </c>
      <c r="F36" s="114" t="str">
        <f>IF($J$10=TRUE,"In progress","Em andamento")</f>
        <v>Em andamento</v>
      </c>
      <c r="G36" s="113" t="str">
        <f>IF($J$10=TRUE,"NA (not applicable)","NA")</f>
        <v>NA</v>
      </c>
      <c r="H36" s="172" t="str">
        <f>IF($J$10=TRUE,"Observation","Observações")</f>
        <v>Observações</v>
      </c>
      <c r="I36" s="173"/>
    </row>
    <row r="37" spans="2:9" ht="38.450000000000003" customHeight="1" x14ac:dyDescent="0.2">
      <c r="B37" s="99">
        <v>1</v>
      </c>
      <c r="C37" s="99" t="str">
        <f>IF($J$10=TRUE,"Does the company perform Import and Export services?","A empresa executa serviços de Importação e Exportação?")</f>
        <v>A empresa executa serviços de Importação e Exportação?</v>
      </c>
      <c r="D37" s="129"/>
      <c r="E37" s="129"/>
      <c r="F37" s="129"/>
      <c r="G37" s="129"/>
      <c r="H37" s="166"/>
      <c r="I37" s="166"/>
    </row>
    <row r="38" spans="2:9" ht="38.450000000000003" customHeight="1" x14ac:dyDescent="0.2">
      <c r="B38" s="60">
        <f>B37+1</f>
        <v>2</v>
      </c>
      <c r="C38" s="99" t="str">
        <f>IF($J$10=TRUE,"Is the dispatcher approved by the Federal Revenue Service?","O despachante é homologado junto à receita federal ?")</f>
        <v>O despachante é homologado junto à receita federal ?</v>
      </c>
      <c r="D38" s="129"/>
      <c r="E38" s="129"/>
      <c r="F38" s="129"/>
      <c r="G38" s="129"/>
      <c r="H38" s="166"/>
      <c r="I38" s="166"/>
    </row>
    <row r="39" spans="2:9" ht="15.75" x14ac:dyDescent="0.2">
      <c r="B39" s="167" t="str">
        <f>IF($J$10=TRUE,"IMPORT","IMPORTAÇÃO")</f>
        <v>IMPORTAÇÃO</v>
      </c>
      <c r="C39" s="168"/>
      <c r="D39" s="168"/>
      <c r="E39" s="168"/>
      <c r="F39" s="168"/>
      <c r="G39" s="168"/>
      <c r="H39" s="168"/>
      <c r="I39" s="169"/>
    </row>
    <row r="40" spans="2:9" ht="30.75" customHeight="1" x14ac:dyDescent="0.2">
      <c r="B40" s="170" t="str">
        <f>IF($J$10=TRUE,"Items (Answer the question with an X. If the answer is NA, please justify the answer at the Observation field.","Itens (Selecione a resposta com X) / Se NA, justificar em Observações")</f>
        <v>Itens (Selecione a resposta com X) / Se NA, justificar em Observações</v>
      </c>
      <c r="C40" s="171"/>
      <c r="D40" s="114" t="str">
        <f>IF($J$10=TRUE,"Yes","Sim")</f>
        <v>Sim</v>
      </c>
      <c r="E40" s="114" t="str">
        <f>IF($J$10=TRUE,"No","Não")</f>
        <v>Não</v>
      </c>
      <c r="F40" s="114" t="str">
        <f>IF($J$10=TRUE,"In progress","Em andamento")</f>
        <v>Em andamento</v>
      </c>
      <c r="G40" s="113" t="str">
        <f>IF($J$10=TRUE,"NA (not applicable)","NA")</f>
        <v>NA</v>
      </c>
      <c r="H40" s="172" t="str">
        <f>IF($J$10=TRUE,"Observation","Observações")</f>
        <v>Observações</v>
      </c>
      <c r="I40" s="173"/>
    </row>
    <row r="41" spans="2:9" ht="47.25" customHeight="1" x14ac:dyDescent="0.2">
      <c r="B41" s="60">
        <f>B38+1</f>
        <v>3</v>
      </c>
      <c r="C41" s="99" t="str">
        <f>IF($J$10=TRUE,"Does the company carry out analysis, interpretation and classification of the goods subject to import?","A empresa realiza análise, interpretação e enquadramento dos bens objeto da importação?")</f>
        <v>A empresa realiza análise, interpretação e enquadramento dos bens objeto da importação?</v>
      </c>
      <c r="D41" s="129"/>
      <c r="E41" s="129"/>
      <c r="F41" s="129"/>
      <c r="G41" s="129"/>
      <c r="H41" s="166"/>
      <c r="I41" s="166"/>
    </row>
    <row r="42" spans="2:9" ht="58.5" customHeight="1" x14ac:dyDescent="0.2">
      <c r="B42" s="60">
        <f>B41+1</f>
        <v>4</v>
      </c>
      <c r="C42" s="99" t="str">
        <f>IF($J$10=TRUE,"Does the company present real import costs after the process is completed?"," A empresa realiza apresentação de custos reais de importação após o encerramento do processo?")</f>
        <v xml:space="preserve"> A empresa realiza apresentação de custos reais de importação após o encerramento do processo?</v>
      </c>
      <c r="D42" s="129"/>
      <c r="E42" s="129"/>
      <c r="F42" s="129"/>
      <c r="G42" s="129"/>
      <c r="H42" s="166"/>
      <c r="I42" s="166"/>
    </row>
    <row r="43" spans="2:9" ht="43.5" customHeight="1" x14ac:dyDescent="0.2">
      <c r="B43" s="60">
        <f t="shared" ref="B43:B51" si="0">B42+1</f>
        <v>5</v>
      </c>
      <c r="C43" s="99" t="str">
        <f>IF($J$10=TRUE,"Does the company carry out analysis, review and preparation of the Import License?","A empresa realiza análise, revisão e preparação da Licença de Importação?")</f>
        <v>A empresa realiza análise, revisão e preparação da Licença de Importação?</v>
      </c>
      <c r="D43" s="129"/>
      <c r="E43" s="129"/>
      <c r="F43" s="129"/>
      <c r="G43" s="129"/>
      <c r="H43" s="166"/>
      <c r="I43" s="166"/>
    </row>
    <row r="44" spans="2:9" ht="63.75" x14ac:dyDescent="0.2">
      <c r="B44" s="60">
        <f t="shared" si="0"/>
        <v>6</v>
      </c>
      <c r="C44" s="99" t="str">
        <f>IF($J$10=TRUE,"Does the company monitor the shipment with the freight agent from collection to delivery at the destination?","A empresa realiza o acompanhamento do embarque junto ao agente de carga desde a coleta até a entrega no destino?")</f>
        <v>A empresa realiza o acompanhamento do embarque junto ao agente de carga desde a coleta até a entrega no destino?</v>
      </c>
      <c r="D44" s="129"/>
      <c r="E44" s="129"/>
      <c r="F44" s="129"/>
      <c r="G44" s="129"/>
      <c r="H44" s="166"/>
      <c r="I44" s="166"/>
    </row>
    <row r="45" spans="2:9" ht="63" customHeight="1" x14ac:dyDescent="0.2">
      <c r="B45" s="60">
        <f t="shared" si="0"/>
        <v>7</v>
      </c>
      <c r="C45" s="99" t="str">
        <f>IF($J$10=TRUE,"Does the company monitor the shipment with the freight agent from collection to delivery at the destination?","A empresa realiza o acompanhamento do embarque junto ao agente de cargas desde a coleta até entrega no destino?")</f>
        <v>A empresa realiza o acompanhamento do embarque junto ao agente de cargas desde a coleta até entrega no destino?</v>
      </c>
      <c r="D45" s="129"/>
      <c r="E45" s="129"/>
      <c r="F45" s="129"/>
      <c r="G45" s="129"/>
      <c r="H45" s="166"/>
      <c r="I45" s="166"/>
    </row>
    <row r="46" spans="2:9" ht="38.25" x14ac:dyDescent="0.2">
      <c r="B46" s="60">
        <f t="shared" si="0"/>
        <v>8</v>
      </c>
      <c r="C46" s="99" t="str">
        <f>IF($J$10=TRUE,"Does the company collect original BLs from cargo agents?","A empresa realiza a retirada de BLs originais com os agentes de carga?")</f>
        <v>A empresa realiza a retirada de BLs originais com os agentes de carga?</v>
      </c>
      <c r="D46" s="129"/>
      <c r="E46" s="129"/>
      <c r="F46" s="129"/>
      <c r="G46" s="129"/>
      <c r="H46" s="166"/>
      <c r="I46" s="166"/>
    </row>
    <row r="47" spans="2:9" ht="38.25" x14ac:dyDescent="0.2">
      <c r="B47" s="60">
        <f t="shared" si="0"/>
        <v>9</v>
      </c>
      <c r="C47" s="99" t="str">
        <f>IF($J$10=TRUE,"Does the company carry out the evaluation and issuance of LIs by NCM, prior to shipment?","A empresa realiza a avaliação e emissão de LI’s por NCM, anterior ao embarque?")</f>
        <v>A empresa realiza a avaliação e emissão de LI’s por NCM, anterior ao embarque?</v>
      </c>
      <c r="D47" s="129"/>
      <c r="E47" s="129"/>
      <c r="F47" s="129"/>
      <c r="G47" s="129"/>
      <c r="H47" s="166"/>
      <c r="I47" s="166"/>
    </row>
    <row r="48" spans="2:9" ht="34.9" customHeight="1" x14ac:dyDescent="0.2">
      <c r="B48" s="60">
        <f t="shared" si="0"/>
        <v>10</v>
      </c>
      <c r="C48" s="99" t="str">
        <f>IF($J$10=TRUE,"Does the company carry out customs clearance for DI, DTA’s?","A empresa realiza desembaraço aduaneiro de DI, DTA’s?")</f>
        <v>A empresa realiza desembaraço aduaneiro de DI, DTA’s?</v>
      </c>
      <c r="D48" s="129"/>
      <c r="E48" s="129"/>
      <c r="F48" s="129"/>
      <c r="G48" s="129"/>
      <c r="H48" s="166"/>
      <c r="I48" s="166"/>
    </row>
    <row r="49" spans="2:9" ht="38.25" x14ac:dyDescent="0.2">
      <c r="B49" s="60">
        <f t="shared" si="0"/>
        <v>11</v>
      </c>
      <c r="C49" s="99" t="str">
        <f>IF($J$10=TRUE,"Does the company control tax/cash payments?","A empresa realiza Controle de pagamentos de impostos / numerários?")</f>
        <v>A empresa realiza Controle de pagamentos de impostos / numerários?</v>
      </c>
      <c r="D49" s="129"/>
      <c r="E49" s="129"/>
      <c r="F49" s="129"/>
      <c r="G49" s="129"/>
      <c r="H49" s="166"/>
      <c r="I49" s="166"/>
    </row>
    <row r="50" spans="2:9" ht="38.25" x14ac:dyDescent="0.2">
      <c r="B50" s="60">
        <f t="shared" si="0"/>
        <v>12</v>
      </c>
      <c r="C50" s="99" t="str">
        <f>IF($J$10=TRUE,"Does the company control tax/cash payments?","A empresa realiza Controle de pagamentos de impostos / numerários?")</f>
        <v>A empresa realiza Controle de pagamentos de impostos / numerários?</v>
      </c>
      <c r="D50" s="129"/>
      <c r="E50" s="129"/>
      <c r="F50" s="129"/>
      <c r="G50" s="129"/>
      <c r="H50" s="166"/>
      <c r="I50" s="166"/>
    </row>
    <row r="51" spans="2:9" ht="63.75" x14ac:dyDescent="0.2">
      <c r="B51" s="60">
        <f t="shared" si="0"/>
        <v>13</v>
      </c>
      <c r="C51" s="99" t="str">
        <f>IF($J$10=TRUE,"Does the company send the completed import process to the customer, with original documents and receipts and service provision invoice?","A empresa realiza o envio do processo de importação finalizado ao cliente, com documentos e recibos originais e NF de prestação de serviços?")</f>
        <v>A empresa realiza o envio do processo de importação finalizado ao cliente, com documentos e recibos originais e NF de prestação de serviços?</v>
      </c>
      <c r="D51" s="129"/>
      <c r="E51" s="129"/>
      <c r="F51" s="129"/>
      <c r="G51" s="129"/>
      <c r="H51" s="166"/>
      <c r="I51" s="166"/>
    </row>
    <row r="52" spans="2:9" ht="15.75" x14ac:dyDescent="0.2">
      <c r="B52" s="167" t="str">
        <f>IF($J$10=TRUE,"EXPORT","EXPORTAÇÃO")</f>
        <v>EXPORTAÇÃO</v>
      </c>
      <c r="C52" s="168"/>
      <c r="D52" s="168"/>
      <c r="E52" s="168"/>
      <c r="F52" s="168"/>
      <c r="G52" s="168"/>
      <c r="H52" s="168"/>
      <c r="I52" s="169"/>
    </row>
    <row r="53" spans="2:9" ht="28.5" customHeight="1" x14ac:dyDescent="0.2">
      <c r="B53" s="170" t="str">
        <f>IF($J$10=TRUE,"Items (Answer the question with an X. If the answer is NA, please justify the answer at the Observation field.","Itens (Selecione a resposta com X) / Se NA, justificar em Observações")</f>
        <v>Itens (Selecione a resposta com X) / Se NA, justificar em Observações</v>
      </c>
      <c r="C53" s="171"/>
      <c r="D53" s="114" t="str">
        <f>IF($J$10=TRUE,"Yes","Sim")</f>
        <v>Sim</v>
      </c>
      <c r="E53" s="114" t="str">
        <f>IF($J$10=TRUE,"No","Não")</f>
        <v>Não</v>
      </c>
      <c r="F53" s="114" t="str">
        <f>IF($J$10=TRUE,"In progress","Em andamento")</f>
        <v>Em andamento</v>
      </c>
      <c r="G53" s="113" t="str">
        <f>IF($J$10=TRUE,"NA (not applicable)","NA")</f>
        <v>NA</v>
      </c>
      <c r="H53" s="172" t="str">
        <f>IF($J$10=TRUE,"Observation","Observações")</f>
        <v>Observações</v>
      </c>
      <c r="I53" s="173"/>
    </row>
    <row r="54" spans="2:9" ht="31.5" customHeight="1" x14ac:dyDescent="0.2">
      <c r="B54" s="60">
        <f>B51+1</f>
        <v>14</v>
      </c>
      <c r="C54" s="99" t="str">
        <f>IF($J$10=TRUE,"Does the company issue a Single Export Declaration (DU-e)?","A empreas emite Declaração Única de Exportação (DU-e)?")</f>
        <v>A empreas emite Declaração Única de Exportação (DU-e)?</v>
      </c>
      <c r="D54" s="129"/>
      <c r="E54" s="129"/>
      <c r="F54" s="129"/>
      <c r="G54" s="129"/>
      <c r="H54" s="166"/>
      <c r="I54" s="166"/>
    </row>
    <row r="55" spans="2:9" ht="38.25" x14ac:dyDescent="0.2">
      <c r="B55" s="60">
        <f t="shared" ref="B55:B60" si="1">B54+1</f>
        <v>15</v>
      </c>
      <c r="C55" s="99" t="str">
        <f>IF($J$10=TRUE,"Does the company carry out the Clearance process at the main borders?","A empresa realiza o processo de Desembaraço nas principais fronteiras?")</f>
        <v>A empresa realiza o processo de Desembaraço nas principais fronteiras?</v>
      </c>
      <c r="D55" s="129"/>
      <c r="E55" s="129"/>
      <c r="F55" s="129"/>
      <c r="G55" s="129"/>
      <c r="H55" s="166"/>
      <c r="I55" s="166"/>
    </row>
    <row r="56" spans="2:9" ht="39.75" customHeight="1" x14ac:dyDescent="0.2">
      <c r="B56" s="60">
        <f t="shared" si="1"/>
        <v>16</v>
      </c>
      <c r="C56" s="99" t="str">
        <f>IF($J$10=TRUE,"Does the company carry out the Customs Clearance and Release process?","A empresa realiza o processo de Desembaraço e Liberação Aduaneira?")</f>
        <v>A empresa realiza o processo de Desembaraço e Liberação Aduaneira?</v>
      </c>
      <c r="D56" s="129"/>
      <c r="E56" s="129"/>
      <c r="F56" s="129"/>
      <c r="G56" s="129"/>
      <c r="H56" s="166"/>
      <c r="I56" s="166"/>
    </row>
    <row r="57" spans="2:9" ht="32.25" customHeight="1" x14ac:dyDescent="0.2">
      <c r="B57" s="60">
        <f t="shared" si="1"/>
        <v>17</v>
      </c>
      <c r="C57" s="99" t="str">
        <f>IF($J$10=TRUE,"Does the company control expense payments?","A empresa realiza controle de pagamento de despesas?")</f>
        <v>A empresa realiza controle de pagamento de despesas?</v>
      </c>
      <c r="D57" s="129"/>
      <c r="E57" s="129"/>
      <c r="F57" s="129"/>
      <c r="G57" s="129"/>
      <c r="H57" s="166"/>
      <c r="I57" s="166"/>
    </row>
    <row r="58" spans="2:9" ht="38.25" x14ac:dyDescent="0.2">
      <c r="B58" s="60">
        <f t="shared" si="1"/>
        <v>18</v>
      </c>
      <c r="C58" s="99" t="str">
        <f>IF($J$10=TRUE,"Does the company send copies of export documents?","A empresa realiza o envio da cópia dos documentos de exportação?")</f>
        <v>A empresa realiza o envio da cópia dos documentos de exportação?</v>
      </c>
      <c r="D58" s="129"/>
      <c r="E58" s="129"/>
      <c r="F58" s="129"/>
      <c r="G58" s="129"/>
      <c r="H58" s="166"/>
      <c r="I58" s="166"/>
    </row>
    <row r="59" spans="2:9" ht="51" x14ac:dyDescent="0.2">
      <c r="B59" s="60">
        <f t="shared" si="1"/>
        <v>19</v>
      </c>
      <c r="C59" s="99" t="str">
        <f>IF($J$10=TRUE,"Does the company collect and send original BL’s/waybills with cargo agents?","A empresa realiza a retirada e envio de BL’s /Conhecimentos originais com os agentes de carga?")</f>
        <v>A empresa realiza a retirada e envio de BL’s /Conhecimentos originais com os agentes de carga?</v>
      </c>
      <c r="D59" s="129"/>
      <c r="E59" s="129"/>
      <c r="F59" s="129"/>
      <c r="G59" s="129"/>
      <c r="H59" s="166"/>
      <c r="I59" s="166"/>
    </row>
    <row r="60" spans="2:9" ht="63.75" x14ac:dyDescent="0.2">
      <c r="B60" s="60">
        <f t="shared" si="1"/>
        <v>20</v>
      </c>
      <c r="C60" s="99" t="str">
        <f>IF($J$10=TRUE,"Does the company send the completed export process to the customer, with original documents and receipts and service provision invoice?","A empresa realiza o envio do processo de exportação finalizado ao cliente, com documentos e recibos originais e NF de prestação de serviços?")</f>
        <v>A empresa realiza o envio do processo de exportação finalizado ao cliente, com documentos e recibos originais e NF de prestação de serviços?</v>
      </c>
      <c r="D60" s="129"/>
      <c r="E60" s="129"/>
      <c r="F60" s="129"/>
      <c r="G60" s="129"/>
      <c r="H60" s="166"/>
      <c r="I60" s="166"/>
    </row>
    <row r="62" spans="2:9" ht="28.5" customHeight="1" x14ac:dyDescent="0.2">
      <c r="B62" s="239" t="str">
        <f>IF($J$10=TRUE,"I declare that all information is true and that any changes in the manufacturing process, specification, or any other changes that impact the quality and/or traceability of the product supplied will be duly communicated to ICC Brazil.","Declaro que todas as informações são verídicas e que qualquer alteração no processo de fabricação, especificação, ou quaisquer outras mudanças que impactem na qualidade e/ou rastreabilidade do produto fornecido serão devidamente comunicados a ICC Brazil.")</f>
        <v>Declaro que todas as informações são verídicas e que qualquer alteração no processo de fabricação, especificação, ou quaisquer outras mudanças que impactem na qualidade e/ou rastreabilidade do produto fornecido serão devidamente comunicados a ICC Brazil.</v>
      </c>
      <c r="C62" s="239"/>
      <c r="D62" s="239"/>
      <c r="E62" s="239"/>
      <c r="F62" s="239"/>
      <c r="G62" s="239"/>
      <c r="H62" s="239"/>
      <c r="I62" s="239"/>
    </row>
    <row r="63" spans="2:9" x14ac:dyDescent="0.2">
      <c r="C63" s="48"/>
    </row>
    <row r="64" spans="2:9" ht="25.5" x14ac:dyDescent="0.2">
      <c r="C64" s="125" t="str">
        <f>IF($J$10=TRUE,"Responsible for completing:","Responsável pelo preenchimento:")</f>
        <v>Responsável pelo preenchimento:</v>
      </c>
      <c r="D64" s="166"/>
      <c r="E64" s="166"/>
      <c r="F64" s="166"/>
      <c r="G64" s="166"/>
      <c r="H64" s="166"/>
    </row>
    <row r="65" spans="3:8" x14ac:dyDescent="0.2">
      <c r="C65" s="125" t="str">
        <f>IF($J$10=TRUE,"Job Title:","Cargo:")</f>
        <v>Cargo:</v>
      </c>
      <c r="D65" s="166"/>
      <c r="E65" s="166"/>
      <c r="F65" s="166"/>
      <c r="G65" s="166"/>
      <c r="H65" s="166"/>
    </row>
    <row r="66" spans="3:8" x14ac:dyDescent="0.2">
      <c r="C66" s="125" t="str">
        <f>IF($J$10=TRUE,"Date:","Data:")</f>
        <v>Data:</v>
      </c>
      <c r="D66" s="166"/>
      <c r="E66" s="166"/>
      <c r="F66" s="166"/>
      <c r="G66" s="166"/>
      <c r="H66" s="166"/>
    </row>
    <row r="67" spans="3:8" x14ac:dyDescent="0.2">
      <c r="C67" s="48"/>
    </row>
    <row r="68" spans="3:8" x14ac:dyDescent="0.2">
      <c r="C68" s="48"/>
    </row>
    <row r="69" spans="3:8" x14ac:dyDescent="0.2">
      <c r="C69" s="48"/>
    </row>
    <row r="70" spans="3:8" x14ac:dyDescent="0.2">
      <c r="C70" s="181"/>
      <c r="D70" s="181"/>
      <c r="E70" s="181"/>
      <c r="F70" s="181"/>
      <c r="G70" s="181"/>
      <c r="H70" s="181"/>
    </row>
    <row r="71" spans="3:8" x14ac:dyDescent="0.2">
      <c r="C71" s="175" t="str">
        <f>IF($J$10=TRUE,"Signature","Assinatura")</f>
        <v>Assinatura</v>
      </c>
      <c r="D71" s="176"/>
      <c r="E71" s="176"/>
      <c r="F71" s="176"/>
      <c r="G71" s="176"/>
      <c r="H71" s="176"/>
    </row>
  </sheetData>
  <sheetProtection algorithmName="SHA-512" hashValue="qMU1BMgMF0gz5Ziykoe6B7rBazefhPUX8WlaSLEW1UfH9qk+zXVpWcVE2lEcVUfxOuhx9ILEMV3Gxqy9I078TQ==" saltValue="/3FzSJfnDK3ENkspEbm2ww==" spinCount="100000" sheet="1"/>
  <mergeCells count="68">
    <mergeCell ref="B35:I35"/>
    <mergeCell ref="B34:I34"/>
    <mergeCell ref="D31:J31"/>
    <mergeCell ref="J1:J2"/>
    <mergeCell ref="J3:J4"/>
    <mergeCell ref="B5:H5"/>
    <mergeCell ref="E6:F6"/>
    <mergeCell ref="A1:B4"/>
    <mergeCell ref="C1:I4"/>
    <mergeCell ref="C10:H10"/>
    <mergeCell ref="C11:H11"/>
    <mergeCell ref="C12:H12"/>
    <mergeCell ref="C13:H13"/>
    <mergeCell ref="D24:E24"/>
    <mergeCell ref="D25:E25"/>
    <mergeCell ref="D26:E26"/>
    <mergeCell ref="H41:I41"/>
    <mergeCell ref="B36:C36"/>
    <mergeCell ref="H36:I36"/>
    <mergeCell ref="D15:H15"/>
    <mergeCell ref="B14:C14"/>
    <mergeCell ref="F25:H25"/>
    <mergeCell ref="F26:H26"/>
    <mergeCell ref="F27:H27"/>
    <mergeCell ref="F28:H28"/>
    <mergeCell ref="D28:E28"/>
    <mergeCell ref="F21:H21"/>
    <mergeCell ref="F22:H22"/>
    <mergeCell ref="D27:E27"/>
    <mergeCell ref="D14:H14"/>
    <mergeCell ref="D22:E22"/>
    <mergeCell ref="D23:E23"/>
    <mergeCell ref="B15:C15"/>
    <mergeCell ref="F23:H23"/>
    <mergeCell ref="F24:H24"/>
    <mergeCell ref="C20:H20"/>
    <mergeCell ref="D21:E21"/>
    <mergeCell ref="H37:I37"/>
    <mergeCell ref="H38:I38"/>
    <mergeCell ref="B39:I39"/>
    <mergeCell ref="H58:I58"/>
    <mergeCell ref="H59:I59"/>
    <mergeCell ref="H44:I44"/>
    <mergeCell ref="H45:I45"/>
    <mergeCell ref="H46:I46"/>
    <mergeCell ref="H47:I47"/>
    <mergeCell ref="B40:C40"/>
    <mergeCell ref="H40:I40"/>
    <mergeCell ref="B53:C53"/>
    <mergeCell ref="H53:I53"/>
    <mergeCell ref="H42:I42"/>
    <mergeCell ref="H43:I43"/>
    <mergeCell ref="H49:I49"/>
    <mergeCell ref="H48:I48"/>
    <mergeCell ref="H56:I56"/>
    <mergeCell ref="H51:I51"/>
    <mergeCell ref="H54:I54"/>
    <mergeCell ref="H55:I55"/>
    <mergeCell ref="H50:I50"/>
    <mergeCell ref="C71:H71"/>
    <mergeCell ref="B52:I52"/>
    <mergeCell ref="H57:I57"/>
    <mergeCell ref="B62:I62"/>
    <mergeCell ref="D64:H64"/>
    <mergeCell ref="D65:H65"/>
    <mergeCell ref="D66:H66"/>
    <mergeCell ref="C70:H70"/>
    <mergeCell ref="H60:I60"/>
  </mergeCells>
  <dataValidations count="1">
    <dataValidation type="list" allowBlank="1" showInputMessage="1" showErrorMessage="1" sqref="D22:E28">
      <formula1>"SIM/YES,NÃO/NO"</formula1>
    </dataValidation>
  </dataValidations>
  <pageMargins left="0.511811024" right="0.511811024" top="0.78740157499999996" bottom="0.78740157499999996" header="0.31496062000000002" footer="0.31496062000000002"/>
  <drawing r:id="rId1"/>
  <legacyDrawing r:id="rId2"/>
  <mc:AlternateContent xmlns:mc="http://schemas.openxmlformats.org/markup-compatibility/2006">
    <mc:Choice Requires="x14">
      <controls>
        <mc:AlternateContent xmlns:mc="http://schemas.openxmlformats.org/markup-compatibility/2006">
          <mc:Choice Requires="x14">
            <control shapeId="42955" r:id="rId3" name="Check Box 1995">
              <controlPr locked="0" defaultSize="0" autoFill="0" autoLine="0" autoPict="0">
                <anchor moveWithCells="1">
                  <from>
                    <xdr:col>3</xdr:col>
                    <xdr:colOff>285750</xdr:colOff>
                    <xdr:row>4</xdr:row>
                    <xdr:rowOff>409575</xdr:rowOff>
                  </from>
                  <to>
                    <xdr:col>5</xdr:col>
                    <xdr:colOff>476250</xdr:colOff>
                    <xdr:row>6</xdr:row>
                    <xdr:rowOff>161925</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18">
    <tabColor theme="0"/>
  </sheetPr>
  <dimension ref="A1:K107"/>
  <sheetViews>
    <sheetView showGridLines="0" workbookViewId="0">
      <selection activeCell="J5" sqref="J5"/>
    </sheetView>
  </sheetViews>
  <sheetFormatPr defaultColWidth="0" defaultRowHeight="12.75" x14ac:dyDescent="0.2"/>
  <cols>
    <col min="1" max="1" width="4.5703125" customWidth="1"/>
    <col min="2" max="2" width="18.7109375" style="48" customWidth="1"/>
    <col min="3" max="3" width="28.7109375" customWidth="1"/>
    <col min="4" max="5" width="7.7109375" customWidth="1"/>
    <col min="6" max="6" width="20.7109375" customWidth="1"/>
    <col min="7" max="7" width="7.7109375" customWidth="1"/>
    <col min="8" max="8" width="20.7109375" customWidth="1"/>
    <col min="9" max="9" width="18.7109375" customWidth="1"/>
    <col min="10" max="10" width="15.140625" customWidth="1"/>
    <col min="11" max="11" width="28.5703125" hidden="1" customWidth="1"/>
  </cols>
  <sheetData>
    <row r="1" spans="1:10" ht="12.75" customHeight="1" x14ac:dyDescent="0.2">
      <c r="A1" s="195"/>
      <c r="B1" s="196"/>
      <c r="C1" s="193" t="s">
        <v>47</v>
      </c>
      <c r="D1" s="159"/>
      <c r="E1" s="159"/>
      <c r="F1" s="159"/>
      <c r="G1" s="159"/>
      <c r="H1" s="159"/>
      <c r="I1" s="160"/>
      <c r="J1" s="147" t="s">
        <v>42</v>
      </c>
    </row>
    <row r="2" spans="1:10" ht="12.75" customHeight="1" x14ac:dyDescent="0.2">
      <c r="A2" s="197"/>
      <c r="B2" s="198"/>
      <c r="C2" s="193"/>
      <c r="D2" s="159"/>
      <c r="E2" s="159"/>
      <c r="F2" s="159"/>
      <c r="G2" s="159"/>
      <c r="H2" s="159"/>
      <c r="I2" s="160"/>
      <c r="J2" s="148"/>
    </row>
    <row r="3" spans="1:10" ht="12.75" customHeight="1" x14ac:dyDescent="0.2">
      <c r="A3" s="197"/>
      <c r="B3" s="198"/>
      <c r="C3" s="193"/>
      <c r="D3" s="159"/>
      <c r="E3" s="159"/>
      <c r="F3" s="159"/>
      <c r="G3" s="159"/>
      <c r="H3" s="159"/>
      <c r="I3" s="160"/>
      <c r="J3" s="148" t="s">
        <v>80</v>
      </c>
    </row>
    <row r="4" spans="1:10" ht="13.5" customHeight="1" thickBot="1" x14ac:dyDescent="0.25">
      <c r="A4" s="199"/>
      <c r="B4" s="200"/>
      <c r="C4" s="194"/>
      <c r="D4" s="161"/>
      <c r="E4" s="161"/>
      <c r="F4" s="161"/>
      <c r="G4" s="161"/>
      <c r="H4" s="161"/>
      <c r="I4" s="162"/>
      <c r="J4" s="149"/>
    </row>
    <row r="5" spans="1:10" ht="25.5" customHeight="1" x14ac:dyDescent="0.2">
      <c r="B5" s="203" t="s">
        <v>43</v>
      </c>
      <c r="C5" s="203"/>
      <c r="D5" s="203"/>
      <c r="E5" s="203"/>
      <c r="F5" s="203"/>
      <c r="G5" s="203"/>
      <c r="H5" s="203"/>
    </row>
    <row r="6" spans="1:10" x14ac:dyDescent="0.2">
      <c r="B6" s="10"/>
      <c r="C6" s="111"/>
      <c r="D6" s="10"/>
      <c r="E6" s="214"/>
      <c r="F6" s="214"/>
    </row>
    <row r="7" spans="1:10" x14ac:dyDescent="0.2">
      <c r="B7" s="18"/>
      <c r="C7" s="10"/>
    </row>
    <row r="8" spans="1:10" ht="11.25" customHeight="1" x14ac:dyDescent="0.2">
      <c r="B8" s="101"/>
      <c r="C8" s="20"/>
      <c r="D8" s="21"/>
      <c r="E8" s="21"/>
      <c r="F8" s="21"/>
      <c r="G8" s="21"/>
      <c r="H8" s="21"/>
      <c r="I8" s="22"/>
    </row>
    <row r="9" spans="1:10" x14ac:dyDescent="0.2">
      <c r="B9" s="102"/>
      <c r="C9" s="10"/>
      <c r="I9" s="24"/>
    </row>
    <row r="10" spans="1:10" ht="18" customHeight="1" x14ac:dyDescent="0.25">
      <c r="B10" s="25" t="str">
        <f>IF($J$10=TRUE,"Corporate Name:","Razão Social:")</f>
        <v>Razão Social:</v>
      </c>
      <c r="C10" s="204"/>
      <c r="D10" s="204"/>
      <c r="E10" s="204"/>
      <c r="F10" s="204"/>
      <c r="G10" s="204"/>
      <c r="H10" s="204"/>
      <c r="I10" s="26"/>
      <c r="J10" s="128" t="b">
        <v>0</v>
      </c>
    </row>
    <row r="11" spans="1:10" ht="18" customHeight="1" x14ac:dyDescent="0.25">
      <c r="B11" s="25" t="str">
        <f>IF($J$10=TRUE,"Fantasy Name:","Nome Fantasia:")</f>
        <v>Nome Fantasia:</v>
      </c>
      <c r="C11" s="204"/>
      <c r="D11" s="204"/>
      <c r="E11" s="204"/>
      <c r="F11" s="204"/>
      <c r="G11" s="204"/>
      <c r="H11" s="204"/>
      <c r="I11" s="24"/>
    </row>
    <row r="12" spans="1:10" ht="18" customHeight="1" x14ac:dyDescent="0.25">
      <c r="B12" s="25" t="str">
        <f>IF($J$10=TRUE,"TIN:","CNPJ:")</f>
        <v>CNPJ:</v>
      </c>
      <c r="C12" s="204"/>
      <c r="D12" s="204"/>
      <c r="E12" s="204"/>
      <c r="F12" s="204"/>
      <c r="G12" s="204"/>
      <c r="H12" s="204"/>
      <c r="I12" s="26"/>
    </row>
    <row r="13" spans="1:10" ht="18" customHeight="1" x14ac:dyDescent="0.25">
      <c r="B13" s="25" t="str">
        <f>IF($J$10=TRUE,"Adress:","Endereço:")</f>
        <v>Endereço:</v>
      </c>
      <c r="C13" s="204"/>
      <c r="D13" s="204"/>
      <c r="E13" s="204"/>
      <c r="F13" s="204"/>
      <c r="G13" s="204"/>
      <c r="H13" s="204"/>
      <c r="I13" s="26"/>
    </row>
    <row r="14" spans="1:10" ht="18" customHeight="1" x14ac:dyDescent="0.2">
      <c r="B14" s="164" t="str">
        <f>IF($J$10=TRUE,"Product supplied to ICC Brazil:","Produto (s) fornecido (s) para a ICC:")</f>
        <v>Produto (s) fornecido (s) para a ICC:</v>
      </c>
      <c r="C14" s="165"/>
      <c r="D14" s="216"/>
      <c r="E14" s="216"/>
      <c r="F14" s="216"/>
      <c r="G14" s="216"/>
      <c r="H14" s="216"/>
      <c r="I14" s="24"/>
    </row>
    <row r="15" spans="1:10" ht="18" customHeight="1" x14ac:dyDescent="0.2">
      <c r="B15" s="240" t="str">
        <f>IF($J$10=TRUE,"CEO:","Responsável Técnico:")</f>
        <v>Responsável Técnico:</v>
      </c>
      <c r="C15" s="241"/>
      <c r="D15" s="216"/>
      <c r="E15" s="216"/>
      <c r="F15" s="216"/>
      <c r="G15" s="216"/>
      <c r="H15" s="216"/>
      <c r="I15" s="24"/>
    </row>
    <row r="16" spans="1:10" x14ac:dyDescent="0.2">
      <c r="B16" s="103"/>
      <c r="C16" s="16"/>
    </row>
    <row r="17" spans="2:10" x14ac:dyDescent="0.2">
      <c r="B17" s="103"/>
      <c r="C17" s="16"/>
    </row>
    <row r="18" spans="2:10" x14ac:dyDescent="0.2">
      <c r="B18" s="104"/>
      <c r="C18" s="34"/>
      <c r="D18" s="21"/>
      <c r="E18" s="21"/>
      <c r="F18" s="21"/>
      <c r="G18" s="21"/>
      <c r="H18" s="21"/>
      <c r="I18" s="22"/>
    </row>
    <row r="19" spans="2:10" x14ac:dyDescent="0.2">
      <c r="B19" s="105"/>
      <c r="C19" s="205" t="str">
        <f>IF($J$10=TRUE,"Please select the submitted documents below","Selecione abaixo os documentos enviados.")</f>
        <v>Selecione abaixo os documentos enviados.</v>
      </c>
      <c r="D19" s="205"/>
      <c r="E19" s="205"/>
      <c r="F19" s="205"/>
      <c r="G19" s="205"/>
      <c r="H19" s="205"/>
      <c r="I19" s="24"/>
    </row>
    <row r="20" spans="2:10" ht="12.75" customHeight="1" x14ac:dyDescent="0.2">
      <c r="B20" s="105"/>
      <c r="C20" s="44" t="str">
        <f>IF($J$10=TRUE,"REQUIREMENT","REQUISITO")</f>
        <v>REQUISITO</v>
      </c>
      <c r="D20" s="206" t="str">
        <f>IF($J$10=TRUE,"SENT","ENVIADO")</f>
        <v>ENVIADO</v>
      </c>
      <c r="E20" s="206"/>
      <c r="F20" s="233" t="str">
        <f>IF($J$10=TRUE,"DOCUMENTS","DOCUMENTOS")</f>
        <v>DOCUMENTOS</v>
      </c>
      <c r="G20" s="234"/>
      <c r="H20" s="235"/>
      <c r="I20" s="24"/>
    </row>
    <row r="21" spans="2:10" ht="12.75" customHeight="1" x14ac:dyDescent="0.2">
      <c r="B21" s="105"/>
      <c r="C21" s="47" t="str">
        <f t="shared" ref="C21:C27" si="0">IF($J$10=TRUE,"Mandatory","Obrigatório")</f>
        <v>Obrigatório</v>
      </c>
      <c r="D21" s="201"/>
      <c r="E21" s="201"/>
      <c r="F21" s="217" t="str">
        <f>IF($J$10=TRUE,"Government-issued operating license","Alvará da Prefeitura")</f>
        <v>Alvará da Prefeitura</v>
      </c>
      <c r="G21" s="218"/>
      <c r="H21" s="219"/>
      <c r="I21" s="24"/>
    </row>
    <row r="22" spans="2:10" ht="30.75" customHeight="1" x14ac:dyDescent="0.2">
      <c r="B22" s="88"/>
      <c r="C22" s="47" t="str">
        <f t="shared" si="0"/>
        <v>Obrigatório</v>
      </c>
      <c r="D22" s="201"/>
      <c r="E22" s="201"/>
      <c r="F22" s="217" t="str">
        <f>IF($J$10=TRUE,"License issued by the health agency","Alvará da Vigilância Sanitária ou documento com a dispensa")</f>
        <v>Alvará da Vigilância Sanitária ou documento com a dispensa</v>
      </c>
      <c r="G22" s="218"/>
      <c r="H22" s="219"/>
      <c r="I22" s="24"/>
    </row>
    <row r="23" spans="2:10" ht="12.75" customHeight="1" x14ac:dyDescent="0.2">
      <c r="B23" s="106"/>
      <c r="C23" s="47" t="str">
        <f t="shared" si="0"/>
        <v>Obrigatório</v>
      </c>
      <c r="D23" s="201"/>
      <c r="E23" s="201"/>
      <c r="F23" s="217" t="str">
        <f>IF($J$10=TRUE,"License issued by the environmental agency","Licença de Operação ou documento com a dispensa")</f>
        <v>Licença de Operação ou documento com a dispensa</v>
      </c>
      <c r="G23" s="218"/>
      <c r="H23" s="219"/>
      <c r="I23" s="38"/>
      <c r="J23" s="32"/>
    </row>
    <row r="24" spans="2:10" ht="12.75" customHeight="1" x14ac:dyDescent="0.2">
      <c r="B24" s="106"/>
      <c r="C24" s="47" t="str">
        <f t="shared" si="0"/>
        <v>Obrigatório</v>
      </c>
      <c r="D24" s="201"/>
      <c r="E24" s="201"/>
      <c r="F24" s="217" t="str">
        <f>IF($J$10=TRUE,"Documents from the company that carries out pest control","Documentos da empresa que realiza o controle de pragas")</f>
        <v>Documentos da empresa que realiza o controle de pragas</v>
      </c>
      <c r="G24" s="218"/>
      <c r="H24" s="219"/>
      <c r="I24" s="38"/>
      <c r="J24" s="32"/>
    </row>
    <row r="25" spans="2:10" ht="12.75" customHeight="1" x14ac:dyDescent="0.2">
      <c r="B25" s="88"/>
      <c r="C25" s="47" t="str">
        <f t="shared" si="0"/>
        <v>Obrigatório</v>
      </c>
      <c r="D25" s="201"/>
      <c r="E25" s="201"/>
      <c r="F25" s="217" t="str">
        <f>IF($J$10=TRUE,"Integrated Pest Control","CIP (controle integrado de pragas)")</f>
        <v>CIP (controle integrado de pragas)</v>
      </c>
      <c r="G25" s="218"/>
      <c r="H25" s="219"/>
      <c r="I25" s="24"/>
    </row>
    <row r="26" spans="2:10" ht="29.25" customHeight="1" x14ac:dyDescent="0.2">
      <c r="B26" s="106"/>
      <c r="C26" s="47" t="str">
        <f t="shared" si="0"/>
        <v>Obrigatório</v>
      </c>
      <c r="D26" s="201"/>
      <c r="E26" s="201"/>
      <c r="F26" s="217" t="str">
        <f>IF($J$10=TRUE,"Warehouse access control procedure/information;","Procedimento/Informação do controle de acesso do armazém")</f>
        <v>Procedimento/Informação do controle de acesso do armazém</v>
      </c>
      <c r="G26" s="218"/>
      <c r="H26" s="219"/>
      <c r="I26" s="38"/>
      <c r="J26" s="32"/>
    </row>
    <row r="27" spans="2:10" ht="25.5" customHeight="1" x14ac:dyDescent="0.2">
      <c r="B27" s="106"/>
      <c r="C27" s="47" t="str">
        <f t="shared" si="0"/>
        <v>Obrigatório</v>
      </c>
      <c r="D27" s="201"/>
      <c r="E27" s="201"/>
      <c r="F27" s="217" t="str">
        <f>IF($J$10=TRUE,"Internal traceability, receipt and dispatch procedure.","Procedimento interno de rastreabilidade, recebimento e expedição.")</f>
        <v>Procedimento interno de rastreabilidade, recebimento e expedição.</v>
      </c>
      <c r="G27" s="218"/>
      <c r="H27" s="219"/>
      <c r="I27" s="38"/>
      <c r="J27" s="32"/>
    </row>
    <row r="28" spans="2:10" x14ac:dyDescent="0.2">
      <c r="B28" s="106"/>
      <c r="C28" s="47" t="str">
        <f>IF($J$10=TRUE,"","Obrigatório")</f>
        <v>Obrigatório</v>
      </c>
      <c r="D28" s="201"/>
      <c r="E28" s="201"/>
      <c r="F28" s="217" t="str">
        <f>IF($J$10=TRUE,"","Registro do MAPA  ou documento com a dispensa")</f>
        <v>Registro do MAPA  ou documento com a dispensa</v>
      </c>
      <c r="G28" s="218"/>
      <c r="H28" s="219"/>
      <c r="I28" s="38"/>
      <c r="J28" s="32"/>
    </row>
    <row r="29" spans="2:10" ht="27" customHeight="1" x14ac:dyDescent="0.2">
      <c r="B29" s="88"/>
      <c r="C29" s="46" t="str">
        <f>IF($J$10=TRUE,"Differencial","Diferencial")</f>
        <v>Diferencial</v>
      </c>
      <c r="D29" s="201"/>
      <c r="E29" s="201"/>
      <c r="F29" s="217" t="str">
        <f>IF($J$10=TRUE,"Food Safety Certificates (e.g., GMP+FSA, FSSC 22000, FAMI QS, BRC...)","Certificados de Segurança de Alimentos (por exemplo, GMP+FSA, FSSC 22000, FAMI QS, BRC...)")</f>
        <v>Certificados de Segurança de Alimentos (por exemplo, GMP+FSA, FSSC 22000, FAMI QS, BRC...)</v>
      </c>
      <c r="G29" s="218"/>
      <c r="H29" s="219"/>
      <c r="I29" s="24"/>
    </row>
    <row r="30" spans="2:10" x14ac:dyDescent="0.2">
      <c r="B30" s="88"/>
      <c r="I30" s="24"/>
    </row>
    <row r="31" spans="2:10" x14ac:dyDescent="0.2">
      <c r="B31" s="96"/>
      <c r="C31" s="30"/>
      <c r="D31" s="30"/>
      <c r="E31" s="30"/>
      <c r="F31" s="30"/>
      <c r="G31" s="30"/>
      <c r="H31" s="30"/>
      <c r="I31" s="31"/>
    </row>
    <row r="33" spans="2:10" x14ac:dyDescent="0.2">
      <c r="D33" s="154"/>
      <c r="E33" s="154"/>
      <c r="F33" s="154"/>
      <c r="G33" s="154"/>
      <c r="H33" s="154"/>
      <c r="I33" s="154"/>
      <c r="J33" s="139"/>
    </row>
    <row r="34" spans="2:10" x14ac:dyDescent="0.2">
      <c r="B34" s="87"/>
      <c r="C34" s="21"/>
      <c r="D34" s="42"/>
      <c r="E34" s="42"/>
      <c r="F34" s="42"/>
      <c r="G34" s="42"/>
      <c r="H34" s="42"/>
      <c r="I34" s="43"/>
      <c r="J34" s="40"/>
    </row>
    <row r="35" spans="2:10" x14ac:dyDescent="0.2">
      <c r="B35" s="88"/>
      <c r="I35" s="24"/>
    </row>
    <row r="36" spans="2:10" ht="28.5" customHeight="1" x14ac:dyDescent="0.2">
      <c r="B36" s="236" t="str">
        <f>IF($J$10=TRUE,"Read each statement and mark with an X in the column according to the company's service in the item.","Por favor, leia cada enunciado e assinale com um X na coluna correspondente ao atendimento da empresa para o respectivo item.")</f>
        <v>Por favor, leia cada enunciado e assinale com um X na coluna correspondente ao atendimento da empresa para o respectivo item.</v>
      </c>
      <c r="C36" s="237"/>
      <c r="D36" s="237"/>
      <c r="E36" s="237"/>
      <c r="F36" s="237"/>
      <c r="G36" s="237"/>
      <c r="H36" s="237"/>
      <c r="I36" s="238"/>
    </row>
    <row r="37" spans="2:10" ht="15.75" x14ac:dyDescent="0.2">
      <c r="B37" s="167" t="str">
        <f>IF($J$10=TRUE,"GENERAL ITEMS","ITENS GERAIS")</f>
        <v>ITENS GERAIS</v>
      </c>
      <c r="C37" s="168"/>
      <c r="D37" s="168"/>
      <c r="E37" s="168"/>
      <c r="F37" s="168"/>
      <c r="G37" s="168"/>
      <c r="H37" s="168"/>
      <c r="I37" s="169"/>
    </row>
    <row r="38" spans="2:10" ht="26.25" customHeight="1" x14ac:dyDescent="0.2">
      <c r="B38" s="170" t="str">
        <f>IF($J$10=TRUE,"Items (Answer the question with an X. If the answer is NA, please justify the answer at the Observation field.","Itens (Selecione a resposta com X) / Se NA, justificar em Observações")</f>
        <v>Itens (Selecione a resposta com X) / Se NA, justificar em Observações</v>
      </c>
      <c r="C38" s="171"/>
      <c r="D38" s="114" t="str">
        <f>IF($J$10=TRUE,"Yes","Sim")</f>
        <v>Sim</v>
      </c>
      <c r="E38" s="114" t="str">
        <f>IF($J$10=TRUE,"No","Não")</f>
        <v>Não</v>
      </c>
      <c r="F38" s="114" t="str">
        <f>IF($J$10=TRUE,"In progress","Em andamento")</f>
        <v>Em andamento</v>
      </c>
      <c r="G38" s="113" t="str">
        <f>IF($J$10=TRUE,"NA (not applicable)","NA")</f>
        <v>NA</v>
      </c>
      <c r="H38" s="172" t="str">
        <f>IF($J$10=TRUE,"Observation","Observações")</f>
        <v>Observações</v>
      </c>
      <c r="I38" s="173"/>
    </row>
    <row r="39" spans="2:10" ht="68.25" customHeight="1" x14ac:dyDescent="0.2">
      <c r="B39" s="60">
        <v>1</v>
      </c>
      <c r="C39" s="99" t="str">
        <f>IF($J$10=TRUE,"Does the company follow current legislation regarding the services offered?","A empresa segue as legislações vigentes aos serviços oferecidos? Descreva o n° e data da legislação/ portaria/RDC vigente para o seu estabelecimento")</f>
        <v>A empresa segue as legislações vigentes aos serviços oferecidos? Descreva o n° e data da legislação/ portaria/RDC vigente para o seu estabelecimento</v>
      </c>
      <c r="D39" s="129"/>
      <c r="E39" s="129"/>
      <c r="F39" s="129"/>
      <c r="G39" s="129"/>
      <c r="H39" s="166"/>
      <c r="I39" s="166"/>
    </row>
    <row r="40" spans="2:10" ht="38.25" x14ac:dyDescent="0.2">
      <c r="B40" s="60">
        <f t="shared" ref="B40:B46" si="1">B39+1</f>
        <v>2</v>
      </c>
      <c r="C40" s="99" t="str">
        <f>IF($J$10=TRUE,"Are non-conforming products identified, separated and discarded?","Produtos não-conformes são identificados, separados e descartados?")</f>
        <v>Produtos não-conformes são identificados, separados e descartados?</v>
      </c>
      <c r="D40" s="129"/>
      <c r="E40" s="129"/>
      <c r="F40" s="129"/>
      <c r="G40" s="129"/>
      <c r="H40" s="166"/>
      <c r="I40" s="166"/>
    </row>
    <row r="41" spans="2:10" ht="56.25" customHeight="1" x14ac:dyDescent="0.2">
      <c r="B41" s="60">
        <f t="shared" si="1"/>
        <v>3</v>
      </c>
      <c r="C41" s="99" t="str">
        <f>IF($J$10=TRUE,"Do you have a procedure and system implemented for dealing with potentially unsafe products?","Possui procedimento e sistemática implementada para tratativa de produtos potencialmente inseguro?")</f>
        <v>Possui procedimento e sistemática implementada para tratativa de produtos potencialmente inseguro?</v>
      </c>
      <c r="D41" s="129"/>
      <c r="E41" s="129"/>
      <c r="F41" s="129"/>
      <c r="G41" s="129"/>
      <c r="H41" s="166"/>
      <c r="I41" s="166"/>
    </row>
    <row r="42" spans="2:10" ht="38.25" x14ac:dyDescent="0.2">
      <c r="B42" s="60">
        <f t="shared" si="1"/>
        <v>4</v>
      </c>
      <c r="C42" s="99" t="str">
        <f>IF($J$10=TRUE,"Water supply network connected to the public network or system with certified potability?","Rede de abastecimento de água ligada à rede pública ou sistema com potabilidade atestada?")</f>
        <v>Rede de abastecimento de água ligada à rede pública ou sistema com potabilidade atestada?</v>
      </c>
      <c r="D42" s="129"/>
      <c r="E42" s="129"/>
      <c r="F42" s="129"/>
      <c r="G42" s="129"/>
      <c r="H42" s="166"/>
      <c r="I42" s="166"/>
    </row>
    <row r="43" spans="2:10" ht="51" x14ac:dyDescent="0.2">
      <c r="B43" s="60">
        <f t="shared" si="1"/>
        <v>5</v>
      </c>
      <c r="C43" s="99" t="str">
        <f>IF($J$10=TRUE,"Does the company have a procedure in place to ensure water potability control?","A empresa possui procedimento implementado para garantir o controle de potabilidade de água?")</f>
        <v>A empresa possui procedimento implementado para garantir o controle de potabilidade de água?</v>
      </c>
      <c r="D43" s="129"/>
      <c r="E43" s="129"/>
      <c r="F43" s="129"/>
      <c r="G43" s="129"/>
      <c r="H43" s="166"/>
      <c r="I43" s="166"/>
    </row>
    <row r="44" spans="2:10" ht="61.5" customHeight="1" x14ac:dyDescent="0.2">
      <c r="B44" s="60">
        <f t="shared" si="1"/>
        <v>6</v>
      </c>
      <c r="C44" s="99" t="str">
        <f>IF($J$10=TRUE,"Operational procedures and controls described and implemented. Comment on the process/activity flow","Procedimentos e controles operacionais descritos e implementados. Comente sobre o processo/ fluxo de atividade")</f>
        <v>Procedimentos e controles operacionais descritos e implementados. Comente sobre o processo/ fluxo de atividade</v>
      </c>
      <c r="D44" s="129"/>
      <c r="E44" s="129"/>
      <c r="F44" s="129"/>
      <c r="G44" s="129"/>
      <c r="H44" s="228" t="s">
        <v>45</v>
      </c>
      <c r="I44" s="228"/>
    </row>
    <row r="45" spans="2:10" ht="89.25" x14ac:dyDescent="0.2">
      <c r="B45" s="60">
        <f t="shared" si="1"/>
        <v>7</v>
      </c>
      <c r="C45" s="99" t="str">
        <f>IF($J$10=TRUE,"Do you have a procedure and system in place to deal with customer complaints? What methodology is used to investigate the root cause of deviations? Is it considered effective?","Possui procedimento e sistemática implementada para tratativa de reclamações de clientes? Qual a metodologia utilizada para investigação de causa raíz dos desvios? É considerada eficaz?")</f>
        <v>Possui procedimento e sistemática implementada para tratativa de reclamações de clientes? Qual a metodologia utilizada para investigação de causa raíz dos desvios? É considerada eficaz?</v>
      </c>
      <c r="D45" s="129"/>
      <c r="E45" s="129"/>
      <c r="F45" s="129"/>
      <c r="G45" s="129"/>
      <c r="H45" s="166"/>
      <c r="I45" s="166"/>
    </row>
    <row r="46" spans="2:10" ht="63.75" x14ac:dyDescent="0.2">
      <c r="B46" s="60">
        <f t="shared" si="1"/>
        <v>8</v>
      </c>
      <c r="C46" s="99" t="str">
        <f>IF($J$10=TRUE,"A documented procedure is available for recalling and collecting finished products.","Um procedimento documentado encontra-se disponível para a realização de recall e recolhimento de produtos acabados.")</f>
        <v>Um procedimento documentado encontra-se disponível para a realização de recall e recolhimento de produtos acabados.</v>
      </c>
      <c r="D46" s="129"/>
      <c r="E46" s="129"/>
      <c r="F46" s="129"/>
      <c r="G46" s="129"/>
      <c r="H46" s="166"/>
      <c r="I46" s="166"/>
    </row>
    <row r="47" spans="2:10" x14ac:dyDescent="0.2">
      <c r="B47" s="88"/>
      <c r="I47" s="24"/>
    </row>
    <row r="48" spans="2:10" ht="15.75" x14ac:dyDescent="0.2">
      <c r="B48" s="167" t="str">
        <f>IF($J$10=TRUE,"QUALITY AND FOOD SAFETY MANAGEMENT SYSTEM","SISTEMA DE GESTÃO DE QUALIDADE E SEGURANÇA DE ALIMENTOS")</f>
        <v>SISTEMA DE GESTÃO DE QUALIDADE E SEGURANÇA DE ALIMENTOS</v>
      </c>
      <c r="C48" s="168"/>
      <c r="D48" s="168"/>
      <c r="E48" s="168"/>
      <c r="F48" s="168"/>
      <c r="G48" s="168"/>
      <c r="H48" s="168"/>
      <c r="I48" s="169"/>
    </row>
    <row r="49" spans="2:9" ht="26.25" customHeight="1" x14ac:dyDescent="0.2">
      <c r="B49" s="170" t="str">
        <f>IF($J$10=TRUE,"Items (Answer the question with an X. If the answer is NA, please justify the answer at the Observation field.","Itens (Selecione a resposta com X) / Se NA, justificar em Observações")</f>
        <v>Itens (Selecione a resposta com X) / Se NA, justificar em Observações</v>
      </c>
      <c r="C49" s="171"/>
      <c r="D49" s="114" t="str">
        <f>IF($J$10=TRUE,"Yes","Sim")</f>
        <v>Sim</v>
      </c>
      <c r="E49" s="114" t="str">
        <f>IF($J$10=TRUE,"No","Não")</f>
        <v>Não</v>
      </c>
      <c r="F49" s="114" t="str">
        <f>IF($J$10=TRUE,"In progress","Em andamento")</f>
        <v>Em andamento</v>
      </c>
      <c r="G49" s="113" t="str">
        <f>IF($J$10=TRUE,"NA (not applicable)","NA")</f>
        <v>NA</v>
      </c>
      <c r="H49" s="172" t="str">
        <f>IF($J$10=TRUE,"Observation","Observações")</f>
        <v>Observações</v>
      </c>
      <c r="I49" s="173"/>
    </row>
    <row r="50" spans="2:9" ht="38.25" x14ac:dyDescent="0.2">
      <c r="B50" s="60">
        <f>B46+1</f>
        <v>9</v>
      </c>
      <c r="C50" s="99" t="str">
        <f>IF($J$10=TRUE,"Is there a Good Manufacturing Practices (GMP) program in place?","Existe um programa de Boas Práticas de Fabricação (BPF) implantado?")</f>
        <v>Existe um programa de Boas Práticas de Fabricação (BPF) implantado?</v>
      </c>
      <c r="D50" s="129"/>
      <c r="E50" s="129"/>
      <c r="F50" s="129"/>
      <c r="G50" s="129"/>
      <c r="H50" s="166"/>
      <c r="I50" s="166"/>
    </row>
    <row r="51" spans="2:9" ht="25.5" x14ac:dyDescent="0.2">
      <c r="B51" s="60">
        <f t="shared" ref="B51:B65" si="2">B50+1</f>
        <v>10</v>
      </c>
      <c r="C51" s="99" t="str">
        <f>IF($J$10=TRUE,"Does the company have a Good Manufacturing Practices Manual?","A empresa possui Manual de Boas Práticas de Fabricação?")</f>
        <v>A empresa possui Manual de Boas Práticas de Fabricação?</v>
      </c>
      <c r="D51" s="129"/>
      <c r="E51" s="129"/>
      <c r="F51" s="129"/>
      <c r="G51" s="129"/>
      <c r="H51" s="166"/>
      <c r="I51" s="166"/>
    </row>
    <row r="52" spans="2:9" ht="38.25" x14ac:dyDescent="0.2">
      <c r="B52" s="60">
        <f t="shared" si="2"/>
        <v>11</v>
      </c>
      <c r="C52" s="99" t="str">
        <f>IF($J$10=TRUE,"Does the company carry out an internal audit of Good Manufacturing Practices?","A empresa realiza auditoria interna de Boas Práticas de Fabricação?")</f>
        <v>A empresa realiza auditoria interna de Boas Práticas de Fabricação?</v>
      </c>
      <c r="D52" s="129"/>
      <c r="E52" s="129"/>
      <c r="F52" s="129"/>
      <c r="G52" s="129"/>
      <c r="H52" s="166"/>
      <c r="I52" s="166"/>
    </row>
    <row r="53" spans="2:9" ht="38.25" x14ac:dyDescent="0.2">
      <c r="B53" s="60">
        <f t="shared" si="2"/>
        <v>12</v>
      </c>
      <c r="C53" s="99" t="str">
        <f>IF($J$10=TRUE,"Is there a hand hygiene procedure in place?","Existe procedimento implementado de higienização das mãos?")</f>
        <v>Existe procedimento implementado de higienização das mãos?</v>
      </c>
      <c r="D53" s="129"/>
      <c r="E53" s="129"/>
      <c r="F53" s="129"/>
      <c r="G53" s="129"/>
      <c r="H53" s="166"/>
      <c r="I53" s="166"/>
    </row>
    <row r="54" spans="2:9" ht="89.25" x14ac:dyDescent="0.2">
      <c r="B54" s="60">
        <f t="shared" si="2"/>
        <v>13</v>
      </c>
      <c r="C54" s="99" t="str">
        <f>IF($J$10=TRUE,"If there is a potential food safety or regulatory issue, is the product physically separated, clearly identified and periodically inventoried?","Se houver um problema potencial de segurança de alimentos ou de aspecto regulatório, o produto é separado fisicamente, claramente identificado e inventariado periodicamente?")</f>
        <v>Se houver um problema potencial de segurança de alimentos ou de aspecto regulatório, o produto é separado fisicamente, claramente identificado e inventariado periodicamente?</v>
      </c>
      <c r="D54" s="129"/>
      <c r="E54" s="129"/>
      <c r="F54" s="129"/>
      <c r="G54" s="129"/>
      <c r="H54" s="166"/>
      <c r="I54" s="166"/>
    </row>
    <row r="55" spans="2:9" ht="25.5" x14ac:dyDescent="0.2">
      <c r="B55" s="60">
        <f t="shared" si="2"/>
        <v>14</v>
      </c>
      <c r="C55" s="99" t="str">
        <f>IF($J$10=TRUE,"Is there monitoring of employee health?","Existe um monitoramento da saúde dos colaboradores?")</f>
        <v>Existe um monitoramento da saúde dos colaboradores?</v>
      </c>
      <c r="D55" s="129"/>
      <c r="E55" s="129"/>
      <c r="F55" s="129"/>
      <c r="G55" s="129"/>
      <c r="H55" s="166"/>
      <c r="I55" s="166"/>
    </row>
    <row r="56" spans="2:9" ht="89.25" x14ac:dyDescent="0.2">
      <c r="B56" s="60">
        <f t="shared" si="2"/>
        <v>15</v>
      </c>
      <c r="C56" s="99" t="str">
        <f>IF($J$10=TRUE,"Procedure implemented to ensure the hygiene of the entire installation, equipment, furniture and utensils? In an on-site assessment, is it possible to demonstrate the implemented procedure? ","Procedimento implementado para garantir a higienização de toda instalação, equipamentos, móveis e utensílios? Em avaliação in loco é possivel evidenciar procedimento implementado?")</f>
        <v>Procedimento implementado para garantir a higienização de toda instalação, equipamentos, móveis e utensílios? Em avaliação in loco é possivel evidenciar procedimento implementado?</v>
      </c>
      <c r="D56" s="129"/>
      <c r="E56" s="129"/>
      <c r="F56" s="129"/>
      <c r="G56" s="129"/>
      <c r="H56" s="166"/>
      <c r="I56" s="166"/>
    </row>
    <row r="57" spans="2:9" ht="51" x14ac:dyDescent="0.2">
      <c r="B57" s="60">
        <f t="shared" si="2"/>
        <v>16</v>
      </c>
      <c r="C57" s="99" t="str">
        <f>IF($J$10=TRUE,"Are utensil and hand hygiene products authorized by the Ministry of Health?","Os produtos de higienização dos utensilios e mãos são autorizados pelo Ministério da Saúde? ")</f>
        <v xml:space="preserve">Os produtos de higienização dos utensilios e mãos são autorizados pelo Ministério da Saúde? </v>
      </c>
      <c r="D57" s="129"/>
      <c r="E57" s="129"/>
      <c r="F57" s="129"/>
      <c r="G57" s="129"/>
      <c r="H57" s="166"/>
      <c r="I57" s="166"/>
    </row>
    <row r="58" spans="2:9" ht="63.75" x14ac:dyDescent="0.2">
      <c r="B58" s="60">
        <f t="shared" si="2"/>
        <v>17</v>
      </c>
      <c r="C58" s="99" t="str">
        <f>IF($J$10=TRUE,"Does the company have a Glass Policy defined? Inventory carried out in the areas, and monitoring with established frequency?","A empresa tem definida uma Política de Vidros? Inventário realizado nas áreas, e monitoramento com frequência estabelecida?")</f>
        <v>A empresa tem definida uma Política de Vidros? Inventário realizado nas áreas, e monitoramento com frequência estabelecida?</v>
      </c>
      <c r="D58" s="129"/>
      <c r="E58" s="129"/>
      <c r="F58" s="129"/>
      <c r="G58" s="129"/>
      <c r="H58" s="166"/>
      <c r="I58" s="166"/>
    </row>
    <row r="59" spans="2:9" ht="51" x14ac:dyDescent="0.2">
      <c r="B59" s="60">
        <f t="shared" si="2"/>
        <v>18</v>
      </c>
      <c r="C59" s="99" t="str">
        <f>IF($J$10=TRUE,"Is there a calibration plan for equipment considered critical? Validated reports/information?","Existe plano de calibração dos equipamentos considerados críticos? Laudos/ informações validadas?")</f>
        <v>Existe plano de calibração dos equipamentos considerados críticos? Laudos/ informações validadas?</v>
      </c>
      <c r="D59" s="129"/>
      <c r="E59" s="129"/>
      <c r="F59" s="129"/>
      <c r="G59" s="129"/>
      <c r="H59" s="166"/>
      <c r="I59" s="166"/>
    </row>
    <row r="60" spans="2:9" ht="76.5" x14ac:dyDescent="0.2">
      <c r="B60" s="60">
        <f t="shared" si="2"/>
        <v>19</v>
      </c>
      <c r="C60" s="99" t="str">
        <f>IF($J$10=TRUE,"Presence of a written and implemented procedure for pest control? Procedure carried out by an outsourced company? Control considered efficient?","Presença de procedimento escrito e implementado para controle de pragas? Procedimento realizado por empresa terceirizada? Controle considerado eficiente?")</f>
        <v>Presença de procedimento escrito e implementado para controle de pragas? Procedimento realizado por empresa terceirizada? Controle considerado eficiente?</v>
      </c>
      <c r="D60" s="129"/>
      <c r="E60" s="129"/>
      <c r="F60" s="129"/>
      <c r="G60" s="129"/>
      <c r="H60" s="166"/>
      <c r="I60" s="166"/>
    </row>
    <row r="61" spans="2:9" ht="38.25" x14ac:dyDescent="0.2">
      <c r="B61" s="60">
        <f t="shared" si="2"/>
        <v>20</v>
      </c>
      <c r="C61" s="99" t="str">
        <f>IF($J$10=TRUE,"Presence of strategically located insect killers?","Presença de eliminadores de insetos localizados estrategicamente?")</f>
        <v>Presença de eliminadores de insetos localizados estrategicamente?</v>
      </c>
      <c r="D61" s="129"/>
      <c r="E61" s="129"/>
      <c r="F61" s="129"/>
      <c r="G61" s="129"/>
      <c r="H61" s="166"/>
      <c r="I61" s="166"/>
    </row>
    <row r="62" spans="2:9" ht="63.75" x14ac:dyDescent="0.2">
      <c r="B62" s="60">
        <f t="shared" si="2"/>
        <v>21</v>
      </c>
      <c r="C62" s="99" t="str">
        <f>IF($J$10=TRUE,"Insecticides/pesticides correctly handled, identified and approved for use? Products registered with the competent body?","Inseticidas / praguicidas corretamente manuseados, identificados e aprovados para o uso? Produtos com registro no órgão competente?")</f>
        <v>Inseticidas / praguicidas corretamente manuseados, identificados e aprovados para o uso? Produtos com registro no órgão competente?</v>
      </c>
      <c r="D62" s="129"/>
      <c r="E62" s="129"/>
      <c r="F62" s="129"/>
      <c r="G62" s="129"/>
      <c r="H62" s="166"/>
      <c r="I62" s="166"/>
    </row>
    <row r="63" spans="2:9" ht="51" x14ac:dyDescent="0.2">
      <c r="B63" s="60">
        <f t="shared" si="2"/>
        <v>22</v>
      </c>
      <c r="C63" s="99" t="str">
        <f>IF($J$10=TRUE,"Traps and bait holders properly numbered, marked and inspected periodically?","Armadilhas e porta-iscas devidamente numerados, sinalizados e inspecionados periodicamente?")</f>
        <v>Armadilhas e porta-iscas devidamente numerados, sinalizados e inspecionados periodicamente?</v>
      </c>
      <c r="D63" s="129"/>
      <c r="E63" s="129"/>
      <c r="F63" s="129"/>
      <c r="G63" s="129"/>
      <c r="H63" s="166"/>
      <c r="I63" s="166"/>
    </row>
    <row r="64" spans="2:9" ht="38.25" x14ac:dyDescent="0.2">
      <c r="B64" s="60">
        <f t="shared" si="2"/>
        <v>23</v>
      </c>
      <c r="C64" s="99" t="str">
        <f>IF($J$10=TRUE,"Is there evidence of reporting on periodic pest control activities?","Há evidência de relatórios sobre as atividades periódicas de controle de pragas?")</f>
        <v>Há evidência de relatórios sobre as atividades periódicas de controle de pragas?</v>
      </c>
      <c r="D64" s="129"/>
      <c r="E64" s="129"/>
      <c r="F64" s="129"/>
      <c r="G64" s="129"/>
      <c r="H64" s="166"/>
      <c r="I64" s="166"/>
    </row>
    <row r="65" spans="2:9" ht="51" x14ac:dyDescent="0.2">
      <c r="B65" s="60">
        <f t="shared" si="2"/>
        <v>24</v>
      </c>
      <c r="C65" s="99" t="str">
        <f>IF($J$10=TRUE,"Is there a Good Manufacturing Practices training program for employees and ongoing retraining?","Existe um programa de treinamento de Boas Práticas de Fabricação para os funcionários e reciclagem contínua?")</f>
        <v>Existe um programa de treinamento de Boas Práticas de Fabricação para os funcionários e reciclagem contínua?</v>
      </c>
      <c r="D65" s="129"/>
      <c r="E65" s="129"/>
      <c r="F65" s="129"/>
      <c r="G65" s="129"/>
      <c r="H65" s="166"/>
      <c r="I65" s="166"/>
    </row>
    <row r="66" spans="2:9" x14ac:dyDescent="0.2">
      <c r="B66" s="88"/>
      <c r="I66" s="24"/>
    </row>
    <row r="67" spans="2:9" ht="15.75" x14ac:dyDescent="0.2">
      <c r="B67" s="167" t="str">
        <f>IF($J$10=TRUE,"STRUCTURE AND BEHAVIOR"," ESTRUTURA E COMPORTAMENTO")</f>
        <v xml:space="preserve"> ESTRUTURA E COMPORTAMENTO</v>
      </c>
      <c r="C67" s="168"/>
      <c r="D67" s="168"/>
      <c r="E67" s="168"/>
      <c r="F67" s="168"/>
      <c r="G67" s="168"/>
      <c r="H67" s="168"/>
      <c r="I67" s="169"/>
    </row>
    <row r="68" spans="2:9" ht="24" customHeight="1" x14ac:dyDescent="0.2">
      <c r="B68" s="170" t="str">
        <f>IF($J$10=TRUE,"Items (Answer the question with an X. If the answer is NA, please justify the answer at the Observation field.","Itens (Selecione a resposta com X) / Se NA, justificar em Observações")</f>
        <v>Itens (Selecione a resposta com X) / Se NA, justificar em Observações</v>
      </c>
      <c r="C68" s="171"/>
      <c r="D68" s="114" t="str">
        <f>IF($J$10=TRUE,"Yes","Sim")</f>
        <v>Sim</v>
      </c>
      <c r="E68" s="114" t="str">
        <f>IF($J$10=TRUE,"No","Não")</f>
        <v>Não</v>
      </c>
      <c r="F68" s="114" t="str">
        <f>IF($J$10=TRUE,"In progress","Em andamento")</f>
        <v>Em andamento</v>
      </c>
      <c r="G68" s="113" t="str">
        <f>IF($J$10=TRUE,"NA (not applicable)","NA")</f>
        <v>NA</v>
      </c>
      <c r="H68" s="172" t="str">
        <f>IF($J$10=TRUE,"Observation","Observações")</f>
        <v>Observações</v>
      </c>
      <c r="I68" s="173"/>
    </row>
    <row r="69" spans="2:9" ht="51" x14ac:dyDescent="0.2">
      <c r="B69" s="60">
        <f>B65+1</f>
        <v>25</v>
      </c>
      <c r="C69" s="99" t="str">
        <f>IF($J$10=TRUE,"Adequate flooring (resistant, waterproof, non-slip and easy-to-clean material)?","Piso adequado (material resistente, impermeável, antiderrapante e de fácil limpeza)?")</f>
        <v>Piso adequado (material resistente, impermeável, antiderrapante e de fácil limpeza)?</v>
      </c>
      <c r="D69" s="129"/>
      <c r="E69" s="129"/>
      <c r="F69" s="129"/>
      <c r="G69" s="129"/>
      <c r="H69" s="166"/>
      <c r="I69" s="166"/>
    </row>
    <row r="70" spans="2:9" ht="63.75" customHeight="1" x14ac:dyDescent="0.2">
      <c r="B70" s="60">
        <f>B69+1</f>
        <v>26</v>
      </c>
      <c r="C70" s="99" t="str">
        <f>IF($J$10=TRUE,"Adequate walls (waterproof, washable, in good condition (free from flaws, cracks, humidity, mold)?","Paredes adequadas (impermeável, lavável, em bom estado de conservação (livre de falhas, rachaduras, umidade, bolor)?")</f>
        <v>Paredes adequadas (impermeável, lavável, em bom estado de conservação (livre de falhas, rachaduras, umidade, bolor)?</v>
      </c>
      <c r="D70" s="129"/>
      <c r="E70" s="129"/>
      <c r="F70" s="133"/>
      <c r="G70" s="129"/>
      <c r="H70" s="166"/>
      <c r="I70" s="166"/>
    </row>
    <row r="71" spans="2:9" ht="51.75" customHeight="1" x14ac:dyDescent="0.2">
      <c r="B71" s="60">
        <f t="shared" ref="B71:B77" si="3">B70+1</f>
        <v>27</v>
      </c>
      <c r="C71" s="99" t="str">
        <f>IF($J$10=TRUE,"Openings to external areas adjusted to the construction or protected (screens, air curtains, etc.), as applicable?","Aberturas para as áreas externas ajustadas à construção ou protegidas (telas, cotinas de ar, etc), conforme aplicável?")</f>
        <v>Aberturas para as áreas externas ajustadas à construção ou protegidas (telas, cotinas de ar, etc), conforme aplicável?</v>
      </c>
      <c r="D71" s="129"/>
      <c r="E71" s="129"/>
      <c r="F71" s="133"/>
      <c r="G71" s="129"/>
      <c r="H71" s="166"/>
      <c r="I71" s="166"/>
    </row>
    <row r="72" spans="2:9" ht="36" customHeight="1" x14ac:dyDescent="0.2">
      <c r="B72" s="60">
        <f t="shared" si="3"/>
        <v>28</v>
      </c>
      <c r="C72" s="99" t="str">
        <f>IF($J$10=TRUE,"Protected channels and drains?","Canaletas e ralos protegidos?")</f>
        <v>Canaletas e ralos protegidos?</v>
      </c>
      <c r="D72" s="129"/>
      <c r="E72" s="129"/>
      <c r="F72" s="133"/>
      <c r="G72" s="129"/>
      <c r="H72" s="166"/>
      <c r="I72" s="166"/>
    </row>
    <row r="73" spans="2:9" ht="33.75" customHeight="1" x14ac:dyDescent="0.2">
      <c r="B73" s="60">
        <f t="shared" si="3"/>
        <v>29</v>
      </c>
      <c r="C73" s="99" t="str">
        <f>IF($J$10=TRUE,"Roof/roof and overhead structures in adequate condition?","Teto / telhado e estruturas aéreas em condição adequada?")</f>
        <v>Teto / telhado e estruturas aéreas em condição adequada?</v>
      </c>
      <c r="D73" s="129"/>
      <c r="E73" s="129"/>
      <c r="F73" s="133"/>
      <c r="G73" s="129"/>
      <c r="H73" s="166"/>
      <c r="I73" s="166"/>
    </row>
    <row r="74" spans="2:9" ht="76.5" x14ac:dyDescent="0.2">
      <c r="B74" s="60">
        <f t="shared" si="3"/>
        <v>30</v>
      </c>
      <c r="C74" s="99" t="str">
        <f>IF($J$10=TRUE,"Are cleaning materials, chemicals and other hazardous substances identified and stored in a manner with controlled access and in specific locations?","Materiais de limpeza, produtos químicos e outras substâncias perigosas estão identificados e armazenados de forma a ter acesso controlado e em locais específicos?")</f>
        <v>Materiais de limpeza, produtos químicos e outras substâncias perigosas estão identificados e armazenados de forma a ter acesso controlado e em locais específicos?</v>
      </c>
      <c r="D74" s="129"/>
      <c r="E74" s="129"/>
      <c r="F74" s="129"/>
      <c r="G74" s="129"/>
      <c r="H74" s="166"/>
      <c r="I74" s="166"/>
    </row>
    <row r="75" spans="2:9" ht="25.5" x14ac:dyDescent="0.2">
      <c r="B75" s="60">
        <f>B74+1</f>
        <v>31</v>
      </c>
      <c r="C75" s="99" t="str">
        <f>IF($J$10=TRUE,"Does the toilet have a direct exit to the warehouse?","Sanitários não apresenta saida direto para armazém? ")</f>
        <v xml:space="preserve">Sanitários não apresenta saida direto para armazém? </v>
      </c>
      <c r="D75" s="129"/>
      <c r="E75" s="129"/>
      <c r="F75" s="129"/>
      <c r="G75" s="129"/>
      <c r="H75" s="166"/>
      <c r="I75" s="166"/>
    </row>
    <row r="76" spans="2:9" ht="25.5" x14ac:dyDescent="0.2">
      <c r="B76" s="60">
        <f>B75+1</f>
        <v>32</v>
      </c>
      <c r="C76" s="99" t="str">
        <f>IF($J$10=TRUE,"Is there adequate disposal of waste?","Existe destinação adequada dos resíduos?")</f>
        <v>Existe destinação adequada dos resíduos?</v>
      </c>
      <c r="D76" s="129"/>
      <c r="E76" s="129"/>
      <c r="F76" s="129"/>
      <c r="G76" s="129"/>
      <c r="H76" s="166"/>
      <c r="I76" s="166"/>
    </row>
    <row r="77" spans="2:9" ht="76.5" x14ac:dyDescent="0.2">
      <c r="B77" s="60">
        <f t="shared" si="3"/>
        <v>33</v>
      </c>
      <c r="C77" s="99" t="str">
        <f>IF($J$10=TRUE,"Are light installations protected to ensure that materials, products or equipment are not contaminated in the event of breakdowns?","As instalações de luz estão protegidas para assegurar que os materiais, produtos ou equipamentos não sejam contaminados no caso de quebras?")</f>
        <v>As instalações de luz estão protegidas para assegurar que os materiais, produtos ou equipamentos não sejam contaminados no caso de quebras?</v>
      </c>
      <c r="D77" s="129"/>
      <c r="E77" s="129"/>
      <c r="F77" s="129"/>
      <c r="G77" s="129"/>
      <c r="H77" s="166"/>
      <c r="I77" s="166"/>
    </row>
    <row r="78" spans="2:9" ht="63.75" x14ac:dyDescent="0.2">
      <c r="B78" s="60">
        <f>B77+1</f>
        <v>34</v>
      </c>
      <c r="C78" s="99" t="str">
        <f>IF($J$10=TRUE,"Is the location safe in relation to the surrounding areas? Presence of Cameras? If so, how long will the images be stored?","Há segurança do local em relação das áreas arredores? Presença de Cameras? Se sim, qual o tempo de armazenamento das imagens?")</f>
        <v>Há segurança do local em relação das áreas arredores? Presença de Cameras? Se sim, qual o tempo de armazenamento das imagens?</v>
      </c>
      <c r="D78" s="129"/>
      <c r="E78" s="129"/>
      <c r="F78" s="129"/>
      <c r="G78" s="129"/>
      <c r="H78" s="228" t="s">
        <v>45</v>
      </c>
      <c r="I78" s="228"/>
    </row>
    <row r="79" spans="2:9" x14ac:dyDescent="0.2">
      <c r="B79" s="88"/>
      <c r="I79" s="24"/>
    </row>
    <row r="80" spans="2:9" ht="15.75" x14ac:dyDescent="0.2">
      <c r="B80" s="167" t="str">
        <f>IF($J$10=TRUE,"STORAGE AND TRANSPORTATION"," ARMAZENAMENTO E TRANSPORTE")</f>
        <v xml:space="preserve"> ARMAZENAMENTO E TRANSPORTE</v>
      </c>
      <c r="C80" s="168"/>
      <c r="D80" s="168"/>
      <c r="E80" s="168"/>
      <c r="F80" s="168"/>
      <c r="G80" s="168"/>
      <c r="H80" s="168"/>
      <c r="I80" s="169"/>
    </row>
    <row r="81" spans="2:9" ht="24" customHeight="1" x14ac:dyDescent="0.2">
      <c r="B81" s="170" t="str">
        <f>IF($J$10=TRUE,"Items (Answer the question with an X. If the answer is NA, please justify the answer at the Observation field.","Itens (Selecione a resposta com X) / Se NA, justificar em Observações")</f>
        <v>Itens (Selecione a resposta com X) / Se NA, justificar em Observações</v>
      </c>
      <c r="C81" s="171"/>
      <c r="D81" s="114" t="str">
        <f>IF($J$10=TRUE,"Yes","Sim")</f>
        <v>Sim</v>
      </c>
      <c r="E81" s="114" t="str">
        <f>IF($J$10=TRUE,"No","Não")</f>
        <v>Não</v>
      </c>
      <c r="F81" s="114" t="str">
        <f>IF($J$10=TRUE,"In progress","Em andamento")</f>
        <v>Em andamento</v>
      </c>
      <c r="G81" s="113" t="str">
        <f>IF($J$10=TRUE,"NA (not applicable)","NA")</f>
        <v>NA</v>
      </c>
      <c r="H81" s="172" t="str">
        <f>IF($J$10=TRUE,"Observation","Observações")</f>
        <v>Observações</v>
      </c>
      <c r="I81" s="173"/>
    </row>
    <row r="82" spans="2:9" ht="89.25" x14ac:dyDescent="0.2">
      <c r="B82" s="60">
        <f>B78+1</f>
        <v>35</v>
      </c>
      <c r="C82" s="99" t="str">
        <f>IF($J$10=TRUE,"Does the company have specific facilities to store products (inputs separated by type, away from the ceiling and away from the wall), allowing adequate hygiene, lighting and air circulation?","A empresa possui instalações específicas para armazenar os produtos (insumos separados por tipo, distantes do teto e afastados da parede), permitindo adequada higienização, iluminação e circulação de ar?")</f>
        <v>A empresa possui instalações específicas para armazenar os produtos (insumos separados por tipo, distantes do teto e afastados da parede), permitindo adequada higienização, iluminação e circulação de ar?</v>
      </c>
      <c r="D82" s="129"/>
      <c r="E82" s="129"/>
      <c r="F82" s="129"/>
      <c r="G82" s="129"/>
      <c r="H82" s="166"/>
      <c r="I82" s="166"/>
    </row>
    <row r="83" spans="2:9" ht="25.5" x14ac:dyDescent="0.2">
      <c r="B83" s="60">
        <f>B82+1</f>
        <v>36</v>
      </c>
      <c r="C83" s="99" t="str">
        <f>IF($J$10=TRUE,"Are products not placed directly on the floor?","Os produtos não são colocados diretamente no piso?")</f>
        <v>Os produtos não são colocados diretamente no piso?</v>
      </c>
      <c r="D83" s="129"/>
      <c r="E83" s="129"/>
      <c r="F83" s="129"/>
      <c r="G83" s="129"/>
      <c r="H83" s="166"/>
      <c r="I83" s="166"/>
    </row>
    <row r="84" spans="2:9" ht="63.75" x14ac:dyDescent="0.2">
      <c r="B84" s="60">
        <f>B83+1</f>
        <v>37</v>
      </c>
      <c r="C84" s="99" t="str">
        <f>IF($J$10=TRUE,"Are there specific storage conditions (temperature, humidity)? Is there adequate control and recording for these conditions?","Há condições específicas de armazenamento (temperatura, umidade)? Para estas condições há um adequado controle e registro?")</f>
        <v>Há condições específicas de armazenamento (temperatura, umidade)? Para estas condições há um adequado controle e registro?</v>
      </c>
      <c r="D84" s="129"/>
      <c r="E84" s="129"/>
      <c r="F84" s="129"/>
      <c r="G84" s="129"/>
      <c r="H84" s="166"/>
      <c r="I84" s="166"/>
    </row>
    <row r="85" spans="2:9" ht="76.5" x14ac:dyDescent="0.2">
      <c r="B85" s="60">
        <f>B84+1</f>
        <v>38</v>
      </c>
      <c r="C85" s="99" t="str">
        <f>IF($J$10=TRUE,"Products that are damaged, expired, returned or recalled from the market are duly identified and stored in a separate location and in an organized manner.","Produtos avariados, com prazo de validade vencido, devolvidos ou recolhidos do mercado são devidamente identificados e armazenados em local separado e de forma organizada. ")</f>
        <v xml:space="preserve">Produtos avariados, com prazo de validade vencido, devolvidos ou recolhidos do mercado são devidamente identificados e armazenados em local separado e de forma organizada. </v>
      </c>
      <c r="D85" s="129"/>
      <c r="E85" s="129"/>
      <c r="F85" s="129"/>
      <c r="G85" s="129"/>
      <c r="H85" s="166"/>
      <c r="I85" s="166"/>
    </row>
    <row r="86" spans="2:9" ht="76.5" x14ac:dyDescent="0.2">
      <c r="B86" s="60">
        <f>B85+1</f>
        <v>39</v>
      </c>
      <c r="C86" s="99" t="str">
        <f>IF($J$10=TRUE,"Is there a procedure for inspecting vehicles before loading (cleanliness, absence of odors and pests)? Are records of this verification kept?","Existe um procedimento para inspeção dos veículos antes do carregamento (limpeza, ausência de odores e pragas)? São mantidos registros dessa verificação?")</f>
        <v>Existe um procedimento para inspeção dos veículos antes do carregamento (limpeza, ausência de odores e pragas)? São mantidos registros dessa verificação?</v>
      </c>
      <c r="D86" s="129"/>
      <c r="E86" s="129"/>
      <c r="F86" s="129"/>
      <c r="G86" s="129"/>
      <c r="H86" s="166"/>
      <c r="I86" s="166"/>
    </row>
    <row r="87" spans="2:9" ht="89.25" x14ac:dyDescent="0.2">
      <c r="B87" s="60">
        <f>B86+1</f>
        <v>40</v>
      </c>
      <c r="C87" s="99" t="str">
        <f>IF($J$10=TRUE,"Does the vehicle not transport other loads (chemicals and cleaning products, solvents, animals, construction materials, waste, etc.) that compromise the safety of the product?","O veículo não transportar outras cargas (produtos químicos e de limpeza, solventes, animais, materiais de construção, resíduos, etc.) que comprometam a segurança do produto?")</f>
        <v>O veículo não transportar outras cargas (produtos químicos e de limpeza, solventes, animais, materiais de construção, resíduos, etc.) que comprometam a segurança do produto?</v>
      </c>
      <c r="D87" s="129"/>
      <c r="E87" s="129"/>
      <c r="F87" s="129"/>
      <c r="G87" s="129"/>
      <c r="H87" s="166"/>
      <c r="I87" s="166"/>
    </row>
    <row r="88" spans="2:9" x14ac:dyDescent="0.2">
      <c r="B88" s="62"/>
      <c r="C88" s="76"/>
      <c r="H88" s="48"/>
      <c r="I88" s="64"/>
    </row>
    <row r="89" spans="2:9" ht="15.75" x14ac:dyDescent="0.2">
      <c r="B89" s="167" t="s">
        <v>21</v>
      </c>
      <c r="C89" s="168"/>
      <c r="D89" s="168"/>
      <c r="E89" s="168"/>
      <c r="F89" s="168"/>
      <c r="G89" s="168"/>
      <c r="H89" s="168"/>
      <c r="I89" s="169"/>
    </row>
    <row r="90" spans="2:9" ht="27.75" customHeight="1" x14ac:dyDescent="0.2">
      <c r="B90" s="170" t="str">
        <f>IF($J$10=TRUE,"Items (Answer the question with an X. If the answer is NA, please justify the answer at the Observation field.","Itens (Selecione a resposta com X) / Se NA, justificar em Observações")</f>
        <v>Itens (Selecione a resposta com X) / Se NA, justificar em Observações</v>
      </c>
      <c r="C90" s="171"/>
      <c r="D90" s="114" t="str">
        <f>IF($J$10=TRUE,"Yes","Sim")</f>
        <v>Sim</v>
      </c>
      <c r="E90" s="114" t="str">
        <f>IF($J$10=TRUE,"No","Não")</f>
        <v>Não</v>
      </c>
      <c r="F90" s="114" t="str">
        <f>IF($J$10=TRUE,"In progress","Em andamento")</f>
        <v>Em andamento</v>
      </c>
      <c r="G90" s="113" t="str">
        <f>IF($J$10=TRUE,"NA (not applicable)","NA")</f>
        <v>NA</v>
      </c>
      <c r="H90" s="172" t="str">
        <f>IF($J$10=TRUE,"Observation","Observações")</f>
        <v>Observações</v>
      </c>
      <c r="I90" s="173"/>
    </row>
    <row r="91" spans="2:9" ht="51" x14ac:dyDescent="0.2">
      <c r="B91" s="60">
        <f>B87+1</f>
        <v>41</v>
      </c>
      <c r="C91" s="99" t="str">
        <f>IF($J$10=TRUE,"Does your organization have an applicable fraud control program that could affect food safety?","Sua organização possui um programa de controle de fraude aplicável  que possam afetar a segurança de alimentos?")</f>
        <v>Sua organização possui um programa de controle de fraude aplicável  que possam afetar a segurança de alimentos?</v>
      </c>
      <c r="D91" s="129"/>
      <c r="E91" s="129"/>
      <c r="F91" s="129"/>
      <c r="G91" s="129"/>
      <c r="H91" s="166"/>
      <c r="I91" s="166"/>
    </row>
    <row r="92" spans="2:9" ht="38.25" x14ac:dyDescent="0.2">
      <c r="B92" s="60">
        <f>B91+1</f>
        <v>42</v>
      </c>
      <c r="C92" s="99" t="str">
        <f>IF($J$10=TRUE,"Is there a history of food quality and safety problems?","Há histórico de problemas de qualidade e segurança de alimentos?")</f>
        <v>Há histórico de problemas de qualidade e segurança de alimentos?</v>
      </c>
      <c r="D92" s="129"/>
      <c r="E92" s="129"/>
      <c r="F92" s="129"/>
      <c r="G92" s="129"/>
      <c r="H92" s="166"/>
      <c r="I92" s="166"/>
    </row>
    <row r="93" spans="2:9" ht="38.25" x14ac:dyDescent="0.2">
      <c r="B93" s="60">
        <f>B92+1</f>
        <v>43</v>
      </c>
      <c r="C93" s="99" t="str">
        <f>IF($J$10=TRUE,"Is there an implemented and effective FOOD DEFENSE program?","Existe um programa de FOOD DEFENSE  implementado e eficaz?")</f>
        <v>Existe um programa de FOOD DEFENSE  implementado e eficaz?</v>
      </c>
      <c r="D93" s="129"/>
      <c r="E93" s="129"/>
      <c r="F93" s="129"/>
      <c r="G93" s="129"/>
      <c r="H93" s="166"/>
      <c r="I93" s="166"/>
    </row>
    <row r="94" spans="2:9" ht="38.25" x14ac:dyDescent="0.2">
      <c r="B94" s="60">
        <f>B93+1</f>
        <v>44</v>
      </c>
      <c r="C94" s="99" t="str">
        <f>IF($J$10=TRUE,"Are there procedures in the plan to respond to threats of product tampering?","Há procedimentos no plano para responder a ameaças de adulteração de produtos?")</f>
        <v>Há procedimentos no plano para responder a ameaças de adulteração de produtos?</v>
      </c>
      <c r="D94" s="129"/>
      <c r="E94" s="129"/>
      <c r="F94" s="129"/>
      <c r="G94" s="129"/>
      <c r="H94" s="166"/>
      <c r="I94" s="166"/>
    </row>
    <row r="95" spans="2:9" ht="25.5" x14ac:dyDescent="0.2">
      <c r="B95" s="60">
        <f>B94+1</f>
        <v>45</v>
      </c>
      <c r="C95" s="99" t="str">
        <f>IF($J$10=TRUE,"Are warehouse entrances controlled? As?","As entradas dos armazéns são controladas? Como?")</f>
        <v>As entradas dos armazéns são controladas? Como?</v>
      </c>
      <c r="D95" s="129"/>
      <c r="E95" s="129"/>
      <c r="F95" s="129"/>
      <c r="G95" s="129"/>
      <c r="H95" s="228" t="s">
        <v>45</v>
      </c>
      <c r="I95" s="228"/>
    </row>
    <row r="96" spans="2:9" ht="38.25" x14ac:dyDescent="0.2">
      <c r="B96" s="60">
        <f>B95+1</f>
        <v>46</v>
      </c>
      <c r="C96" s="99" t="str">
        <f>IF($J$10=TRUE,"Is the integrity of finished product shipments checked at the docks?","É verificada a integridade dos embarques de produtos acabados nas docas?")</f>
        <v>É verificada a integridade dos embarques de produtos acabados nas docas?</v>
      </c>
      <c r="D96" s="129"/>
      <c r="E96" s="129"/>
      <c r="F96" s="129"/>
      <c r="G96" s="129"/>
      <c r="H96" s="166"/>
      <c r="I96" s="166"/>
    </row>
    <row r="98" spans="2:9" ht="32.25" customHeight="1" x14ac:dyDescent="0.2">
      <c r="B98" s="239" t="str">
        <f>IF($J$10=TRUE,"I declare that all information is true and that any changes in the manufacturing process, specification, or any other changes that impact the quality and/or traceability of the product supplied will be duly communicated to ICC Brazil.","Declaro que todas as informações são verídicas e que qualquer alteração no processo de fabricação, especificação, ou quaisquer outras mudanças que impactem na qualidade e/ou rastreabilidade do produto fornecido serão devidamente comunicados a ICC Brazil.")</f>
        <v>Declaro que todas as informações são verídicas e que qualquer alteração no processo de fabricação, especificação, ou quaisquer outras mudanças que impactem na qualidade e/ou rastreabilidade do produto fornecido serão devidamente comunicados a ICC Brazil.</v>
      </c>
      <c r="C98" s="239"/>
      <c r="D98" s="239"/>
      <c r="E98" s="239"/>
      <c r="F98" s="239"/>
      <c r="G98" s="239"/>
      <c r="H98" s="239"/>
      <c r="I98" s="239"/>
    </row>
    <row r="99" spans="2:9" x14ac:dyDescent="0.2">
      <c r="C99" s="48"/>
    </row>
    <row r="100" spans="2:9" ht="25.5" x14ac:dyDescent="0.2">
      <c r="C100" s="125" t="str">
        <f>IF($J$10=TRUE,"Responsible for completing:","Responsável pelo preenchimento:")</f>
        <v>Responsável pelo preenchimento:</v>
      </c>
      <c r="D100" s="166"/>
      <c r="E100" s="166"/>
      <c r="F100" s="166"/>
      <c r="G100" s="166"/>
      <c r="H100" s="166"/>
    </row>
    <row r="101" spans="2:9" x14ac:dyDescent="0.2">
      <c r="C101" s="125" t="str">
        <f>IF($J$10=TRUE,"Job Title:","Cargo:")</f>
        <v>Cargo:</v>
      </c>
      <c r="D101" s="166"/>
      <c r="E101" s="166"/>
      <c r="F101" s="166"/>
      <c r="G101" s="166"/>
      <c r="H101" s="166"/>
    </row>
    <row r="102" spans="2:9" x14ac:dyDescent="0.2">
      <c r="C102" s="125" t="str">
        <f>IF($J$10=TRUE,"Date:","Data:")</f>
        <v>Data:</v>
      </c>
      <c r="D102" s="166"/>
      <c r="E102" s="166"/>
      <c r="F102" s="166"/>
      <c r="G102" s="166"/>
      <c r="H102" s="166"/>
    </row>
    <row r="103" spans="2:9" x14ac:dyDescent="0.2">
      <c r="C103" s="48"/>
    </row>
    <row r="104" spans="2:9" x14ac:dyDescent="0.2">
      <c r="C104" s="48"/>
    </row>
    <row r="105" spans="2:9" x14ac:dyDescent="0.2">
      <c r="C105" s="48"/>
    </row>
    <row r="106" spans="2:9" x14ac:dyDescent="0.2">
      <c r="C106" s="181"/>
      <c r="D106" s="181"/>
      <c r="E106" s="181"/>
      <c r="F106" s="181"/>
      <c r="G106" s="181"/>
      <c r="H106" s="181"/>
    </row>
    <row r="107" spans="2:9" x14ac:dyDescent="0.2">
      <c r="C107" s="175" t="str">
        <f>IF($J$10=TRUE,"Signature","Assinatura")</f>
        <v>Assinatura</v>
      </c>
      <c r="D107" s="176"/>
      <c r="E107" s="176"/>
      <c r="F107" s="176"/>
      <c r="G107" s="176"/>
      <c r="H107" s="176"/>
    </row>
  </sheetData>
  <sheetProtection algorithmName="SHA-512" hashValue="cBZd2x6lyKx6ZTKHx8uNZSyUlWvqX56QD8ZjsFN/7Zn1CuL6qfKZzC6K54Uy0Uv+9apzNOcL5wNwu6hI0M2hyA==" saltValue="fbQUYTBYVgqjHcbqyKEaYQ==" spinCount="100000" sheet="1"/>
  <mergeCells count="104">
    <mergeCell ref="H96:I96"/>
    <mergeCell ref="B89:I89"/>
    <mergeCell ref="B90:C90"/>
    <mergeCell ref="H90:I90"/>
    <mergeCell ref="H91:I91"/>
    <mergeCell ref="H92:I92"/>
    <mergeCell ref="H93:I93"/>
    <mergeCell ref="H95:I95"/>
    <mergeCell ref="H94:I94"/>
    <mergeCell ref="H87:I87"/>
    <mergeCell ref="H74:I74"/>
    <mergeCell ref="H75:I75"/>
    <mergeCell ref="H69:I69"/>
    <mergeCell ref="H70:I70"/>
    <mergeCell ref="H71:I71"/>
    <mergeCell ref="H72:I72"/>
    <mergeCell ref="H85:I85"/>
    <mergeCell ref="H86:I86"/>
    <mergeCell ref="H76:I76"/>
    <mergeCell ref="H77:I77"/>
    <mergeCell ref="H78:I78"/>
    <mergeCell ref="H83:I83"/>
    <mergeCell ref="B80:I80"/>
    <mergeCell ref="B81:C81"/>
    <mergeCell ref="H84:I84"/>
    <mergeCell ref="H81:I81"/>
    <mergeCell ref="H82:I82"/>
    <mergeCell ref="H64:I64"/>
    <mergeCell ref="H65:I65"/>
    <mergeCell ref="B67:I67"/>
    <mergeCell ref="B68:C68"/>
    <mergeCell ref="H68:I68"/>
    <mergeCell ref="D27:E27"/>
    <mergeCell ref="D28:E28"/>
    <mergeCell ref="D29:E29"/>
    <mergeCell ref="B36:I36"/>
    <mergeCell ref="D23:E23"/>
    <mergeCell ref="D24:E24"/>
    <mergeCell ref="B48:I48"/>
    <mergeCell ref="F27:H27"/>
    <mergeCell ref="F28:H28"/>
    <mergeCell ref="F29:H29"/>
    <mergeCell ref="D25:E25"/>
    <mergeCell ref="H49:I49"/>
    <mergeCell ref="H50:I50"/>
    <mergeCell ref="F23:H23"/>
    <mergeCell ref="D26:E26"/>
    <mergeCell ref="F24:H24"/>
    <mergeCell ref="F25:H25"/>
    <mergeCell ref="F26:H26"/>
    <mergeCell ref="D33:J33"/>
    <mergeCell ref="B37:I37"/>
    <mergeCell ref="H40:I40"/>
    <mergeCell ref="H41:I41"/>
    <mergeCell ref="H42:I42"/>
    <mergeCell ref="H43:I43"/>
    <mergeCell ref="H44:I44"/>
    <mergeCell ref="H45:I45"/>
    <mergeCell ref="B49:C49"/>
    <mergeCell ref="J1:J2"/>
    <mergeCell ref="J3:J4"/>
    <mergeCell ref="C10:H10"/>
    <mergeCell ref="C11:H11"/>
    <mergeCell ref="B5:H5"/>
    <mergeCell ref="E6:F6"/>
    <mergeCell ref="D20:E20"/>
    <mergeCell ref="D21:E21"/>
    <mergeCell ref="D22:E22"/>
    <mergeCell ref="C19:H19"/>
    <mergeCell ref="F20:H20"/>
    <mergeCell ref="F21:H21"/>
    <mergeCell ref="F22:H22"/>
    <mergeCell ref="C12:H12"/>
    <mergeCell ref="C13:H13"/>
    <mergeCell ref="B14:C14"/>
    <mergeCell ref="D14:H14"/>
    <mergeCell ref="B15:C15"/>
    <mergeCell ref="D15:H15"/>
    <mergeCell ref="A1:B4"/>
    <mergeCell ref="C1:I4"/>
    <mergeCell ref="D100:H100"/>
    <mergeCell ref="D101:H101"/>
    <mergeCell ref="D102:H102"/>
    <mergeCell ref="C106:H106"/>
    <mergeCell ref="C107:H107"/>
    <mergeCell ref="B38:C38"/>
    <mergeCell ref="H38:I38"/>
    <mergeCell ref="H39:I39"/>
    <mergeCell ref="H53:I53"/>
    <mergeCell ref="H46:I46"/>
    <mergeCell ref="B98:I98"/>
    <mergeCell ref="H51:I51"/>
    <mergeCell ref="H52:I52"/>
    <mergeCell ref="H59:I59"/>
    <mergeCell ref="H60:I60"/>
    <mergeCell ref="H61:I61"/>
    <mergeCell ref="H62:I62"/>
    <mergeCell ref="H63:I63"/>
    <mergeCell ref="H54:I54"/>
    <mergeCell ref="H55:I55"/>
    <mergeCell ref="H56:I56"/>
    <mergeCell ref="H57:I57"/>
    <mergeCell ref="H58:I58"/>
    <mergeCell ref="H73:I73"/>
  </mergeCells>
  <dataValidations disablePrompts="1" count="1">
    <dataValidation type="list" allowBlank="1" showInputMessage="1" showErrorMessage="1" sqref="D21:E29">
      <formula1>"SIM/YES,NÃO/NO"</formula1>
    </dataValidation>
  </dataValidations>
  <pageMargins left="0.511811024" right="0.511811024" top="0.78740157499999996" bottom="0.78740157499999996" header="0.31496062000000002" footer="0.31496062000000002"/>
  <drawing r:id="rId1"/>
  <legacyDrawing r:id="rId2"/>
  <mc:AlternateContent xmlns:mc="http://schemas.openxmlformats.org/markup-compatibility/2006">
    <mc:Choice Requires="x14">
      <controls>
        <mc:AlternateContent xmlns:mc="http://schemas.openxmlformats.org/markup-compatibility/2006">
          <mc:Choice Requires="x14">
            <control shapeId="50308" r:id="rId3" name="Check Box 1156">
              <controlPr locked="0" defaultSize="0" autoFill="0" autoLine="0" autoPict="0">
                <anchor moveWithCells="1">
                  <from>
                    <xdr:col>3</xdr:col>
                    <xdr:colOff>285750</xdr:colOff>
                    <xdr:row>4</xdr:row>
                    <xdr:rowOff>409575</xdr:rowOff>
                  </from>
                  <to>
                    <xdr:col>5</xdr:col>
                    <xdr:colOff>476250</xdr:colOff>
                    <xdr:row>6</xdr:row>
                    <xdr:rowOff>161925</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ilha6"/>
  <dimension ref="A1:K80"/>
  <sheetViews>
    <sheetView showGridLines="0" tabSelected="1" topLeftCell="A61" workbookViewId="0">
      <selection activeCell="E78" sqref="E78"/>
    </sheetView>
  </sheetViews>
  <sheetFormatPr defaultColWidth="0" defaultRowHeight="12.75" x14ac:dyDescent="0.2"/>
  <cols>
    <col min="1" max="1" width="4.5703125" customWidth="1"/>
    <col min="2" max="2" width="18.7109375" customWidth="1"/>
    <col min="3" max="3" width="34.42578125" customWidth="1"/>
    <col min="4" max="5" width="7.7109375" style="49" customWidth="1"/>
    <col min="6" max="6" width="20.7109375" style="49" customWidth="1"/>
    <col min="7" max="7" width="7.7109375" style="49" customWidth="1"/>
    <col min="8" max="8" width="20.7109375" style="49" customWidth="1"/>
    <col min="9" max="9" width="18.7109375" customWidth="1"/>
    <col min="10" max="10" width="16" customWidth="1"/>
    <col min="11" max="11" width="26.5703125" hidden="1" customWidth="1"/>
  </cols>
  <sheetData>
    <row r="1" spans="1:10" ht="12.75" customHeight="1" x14ac:dyDescent="0.2">
      <c r="A1" s="195"/>
      <c r="B1" s="196"/>
      <c r="C1" s="193" t="s">
        <v>75</v>
      </c>
      <c r="D1" s="159"/>
      <c r="E1" s="159"/>
      <c r="F1" s="159"/>
      <c r="G1" s="159"/>
      <c r="H1" s="159"/>
      <c r="I1" s="160"/>
      <c r="J1" s="147" t="s">
        <v>42</v>
      </c>
    </row>
    <row r="2" spans="1:10" ht="12.75" customHeight="1" x14ac:dyDescent="0.2">
      <c r="A2" s="197"/>
      <c r="B2" s="198"/>
      <c r="C2" s="193"/>
      <c r="D2" s="159"/>
      <c r="E2" s="159"/>
      <c r="F2" s="159"/>
      <c r="G2" s="159"/>
      <c r="H2" s="159"/>
      <c r="I2" s="160"/>
      <c r="J2" s="148"/>
    </row>
    <row r="3" spans="1:10" ht="12.75" customHeight="1" x14ac:dyDescent="0.2">
      <c r="A3" s="197"/>
      <c r="B3" s="198"/>
      <c r="C3" s="193"/>
      <c r="D3" s="159"/>
      <c r="E3" s="159"/>
      <c r="F3" s="159"/>
      <c r="G3" s="159"/>
      <c r="H3" s="159"/>
      <c r="I3" s="160"/>
      <c r="J3" s="148" t="s">
        <v>80</v>
      </c>
    </row>
    <row r="4" spans="1:10" ht="20.25" customHeight="1" thickBot="1" x14ac:dyDescent="0.25">
      <c r="A4" s="199"/>
      <c r="B4" s="200"/>
      <c r="C4" s="194"/>
      <c r="D4" s="161"/>
      <c r="E4" s="161"/>
      <c r="F4" s="161"/>
      <c r="G4" s="161"/>
      <c r="H4" s="161"/>
      <c r="I4" s="162"/>
      <c r="J4" s="149"/>
    </row>
    <row r="5" spans="1:10" ht="29.25" customHeight="1" x14ac:dyDescent="0.2">
      <c r="B5" s="203" t="s">
        <v>43</v>
      </c>
      <c r="C5" s="203"/>
      <c r="D5" s="203"/>
      <c r="E5" s="203"/>
      <c r="F5" s="203"/>
      <c r="G5" s="203"/>
      <c r="H5" s="203"/>
    </row>
    <row r="6" spans="1:10" x14ac:dyDescent="0.2">
      <c r="B6" s="10"/>
      <c r="C6" s="111"/>
      <c r="D6" s="10"/>
      <c r="E6" s="214"/>
      <c r="F6" s="214"/>
      <c r="G6"/>
      <c r="H6"/>
    </row>
    <row r="7" spans="1:10" x14ac:dyDescent="0.2">
      <c r="B7" s="10"/>
      <c r="C7" s="10"/>
      <c r="D7" s="32"/>
      <c r="E7" s="32"/>
      <c r="F7" s="32"/>
    </row>
    <row r="8" spans="1:10" ht="11.25" customHeight="1" x14ac:dyDescent="0.2">
      <c r="B8" s="19"/>
      <c r="C8" s="20"/>
      <c r="D8" s="50"/>
      <c r="E8" s="50"/>
      <c r="F8" s="50"/>
      <c r="G8" s="51"/>
      <c r="H8" s="51"/>
      <c r="I8" s="22"/>
    </row>
    <row r="9" spans="1:10" x14ac:dyDescent="0.2">
      <c r="B9" s="23"/>
      <c r="C9" s="10"/>
      <c r="D9" s="32"/>
      <c r="E9" s="32"/>
      <c r="F9" s="32"/>
      <c r="I9" s="24"/>
    </row>
    <row r="10" spans="1:10" ht="18" customHeight="1" x14ac:dyDescent="0.25">
      <c r="B10" s="25" t="str">
        <f>IF($J$10=TRUE,"Corporate Name:","Razão Social:")</f>
        <v>Razão Social:</v>
      </c>
      <c r="C10" s="204" t="s">
        <v>81</v>
      </c>
      <c r="D10" s="204"/>
      <c r="E10" s="204"/>
      <c r="F10" s="204"/>
      <c r="G10" s="204"/>
      <c r="H10" s="204"/>
      <c r="I10" s="26"/>
      <c r="J10" s="128" t="b">
        <v>0</v>
      </c>
    </row>
    <row r="11" spans="1:10" ht="18" customHeight="1" x14ac:dyDescent="0.25">
      <c r="B11" s="25" t="str">
        <f>IF($J$10=TRUE,"Fantasy Name:","Nome Fantasia:")</f>
        <v>Nome Fantasia:</v>
      </c>
      <c r="C11" s="204" t="s">
        <v>81</v>
      </c>
      <c r="D11" s="204"/>
      <c r="E11" s="204"/>
      <c r="F11" s="204"/>
      <c r="G11" s="204"/>
      <c r="H11" s="204"/>
      <c r="I11" s="24"/>
    </row>
    <row r="12" spans="1:10" ht="18" customHeight="1" x14ac:dyDescent="0.25">
      <c r="B12" s="25" t="str">
        <f>IF($J$10=TRUE,"TIN:","CNPJ:")</f>
        <v>CNPJ:</v>
      </c>
      <c r="C12" s="204" t="s">
        <v>82</v>
      </c>
      <c r="D12" s="204"/>
      <c r="E12" s="204"/>
      <c r="F12" s="204"/>
      <c r="G12" s="204"/>
      <c r="H12" s="204"/>
      <c r="I12" s="26"/>
    </row>
    <row r="13" spans="1:10" ht="28.5" customHeight="1" x14ac:dyDescent="0.25">
      <c r="B13" s="25" t="str">
        <f>IF($J$10=TRUE,"Adress:","Endereço:")</f>
        <v>Endereço:</v>
      </c>
      <c r="C13" s="204" t="s">
        <v>83</v>
      </c>
      <c r="D13" s="204"/>
      <c r="E13" s="204"/>
      <c r="F13" s="204"/>
      <c r="G13" s="204"/>
      <c r="H13" s="204"/>
      <c r="I13" s="26"/>
    </row>
    <row r="14" spans="1:10" ht="18" customHeight="1" x14ac:dyDescent="0.2">
      <c r="B14" s="164" t="str">
        <f>IF($J$10=TRUE,"Product supplied to ICC Brazil:","Produto (s) fornecido (s) para a ICC:")</f>
        <v>Produto (s) fornecido (s) para a ICC:</v>
      </c>
      <c r="C14" s="165"/>
      <c r="D14" s="220" t="s">
        <v>85</v>
      </c>
      <c r="E14" s="220"/>
      <c r="F14" s="220"/>
      <c r="G14" s="220"/>
      <c r="H14" s="220"/>
      <c r="I14" s="24"/>
    </row>
    <row r="15" spans="1:10" ht="18" customHeight="1" x14ac:dyDescent="0.2">
      <c r="B15" s="164" t="str">
        <f>IF($J$10=TRUE,"CEO:","Responsável Técnico:")</f>
        <v>Responsável Técnico:</v>
      </c>
      <c r="C15" s="165"/>
      <c r="D15" s="220" t="s">
        <v>84</v>
      </c>
      <c r="E15" s="220"/>
      <c r="F15" s="220"/>
      <c r="G15" s="220"/>
      <c r="H15" s="220"/>
      <c r="I15" s="24"/>
    </row>
    <row r="16" spans="1:10" x14ac:dyDescent="0.2">
      <c r="B16" s="28"/>
      <c r="C16" s="29"/>
      <c r="D16" s="52"/>
      <c r="E16" s="52"/>
      <c r="F16" s="52"/>
      <c r="G16" s="53"/>
      <c r="H16" s="53"/>
      <c r="I16" s="31"/>
    </row>
    <row r="17" spans="2:11" x14ac:dyDescent="0.2">
      <c r="B17" s="16"/>
      <c r="C17" s="16"/>
      <c r="D17" s="54"/>
      <c r="E17" s="54"/>
      <c r="F17" s="54"/>
    </row>
    <row r="18" spans="2:11" x14ac:dyDescent="0.2">
      <c r="B18" s="16"/>
      <c r="C18" s="16"/>
      <c r="D18" s="54"/>
      <c r="E18" s="54"/>
      <c r="F18" s="54"/>
    </row>
    <row r="19" spans="2:11" x14ac:dyDescent="0.2">
      <c r="B19" s="33"/>
      <c r="C19" s="34"/>
      <c r="D19" s="55"/>
      <c r="E19" s="55"/>
      <c r="F19" s="55"/>
      <c r="G19" s="51"/>
      <c r="H19" s="51"/>
      <c r="I19" s="22"/>
    </row>
    <row r="20" spans="2:11" x14ac:dyDescent="0.2">
      <c r="B20" s="35"/>
      <c r="C20" s="205" t="str">
        <f>IF($J$10=TRUE,"Please select the submitted documents below","Selecione abaixo os documentos enviados.")</f>
        <v>Selecione abaixo os documentos enviados.</v>
      </c>
      <c r="D20" s="205"/>
      <c r="E20" s="205"/>
      <c r="F20" s="205"/>
      <c r="G20" s="205"/>
      <c r="H20" s="205"/>
      <c r="I20" s="24"/>
    </row>
    <row r="21" spans="2:11" ht="12.75" customHeight="1" x14ac:dyDescent="0.2">
      <c r="B21" s="35"/>
      <c r="C21" s="44" t="str">
        <f>IF($J$10=TRUE,"REQUIREMENT","REQUISITO")</f>
        <v>REQUISITO</v>
      </c>
      <c r="D21" s="206" t="str">
        <f>IF($J$10=TRUE,"SENT","ENVIADO")</f>
        <v>ENVIADO</v>
      </c>
      <c r="E21" s="206"/>
      <c r="F21" s="187" t="str">
        <f>IF($J$10=TRUE,"DOCUMENTS","DOCUMENTOS")</f>
        <v>DOCUMENTOS</v>
      </c>
      <c r="G21" s="188"/>
      <c r="H21" s="189"/>
      <c r="I21" s="24"/>
    </row>
    <row r="22" spans="2:11" ht="12.75" customHeight="1" x14ac:dyDescent="0.2">
      <c r="B22" s="35"/>
      <c r="C22" s="47" t="str">
        <f t="shared" ref="C22:C31" si="0">IF($J$10=TRUE,"Mandatory","Obrigatório")</f>
        <v>Obrigatório</v>
      </c>
      <c r="D22" s="201"/>
      <c r="E22" s="201"/>
      <c r="F22" s="221" t="str">
        <f>IF($J$10=TRUE,"Licença de operação emitida pelo governo","Alvará da Prefeitura")</f>
        <v>Alvará da Prefeitura</v>
      </c>
      <c r="G22" s="222"/>
      <c r="H22" s="223"/>
      <c r="I22" s="24"/>
    </row>
    <row r="23" spans="2:11" x14ac:dyDescent="0.2">
      <c r="B23" s="36"/>
      <c r="C23" s="47" t="str">
        <f t="shared" si="0"/>
        <v>Obrigatório</v>
      </c>
      <c r="D23" s="201"/>
      <c r="E23" s="201"/>
      <c r="F23" s="217" t="str">
        <f>IF($J$10=TRUE,"License issued by the health agency","Licença da Vigilância Sanitária")</f>
        <v>Licença da Vigilância Sanitária</v>
      </c>
      <c r="G23" s="218"/>
      <c r="H23" s="219"/>
      <c r="I23" s="24"/>
    </row>
    <row r="24" spans="2:11" ht="12.75" customHeight="1" x14ac:dyDescent="0.2">
      <c r="B24" s="37"/>
      <c r="C24" s="47" t="str">
        <f t="shared" si="0"/>
        <v>Obrigatório</v>
      </c>
      <c r="D24" s="201"/>
      <c r="E24" s="201"/>
      <c r="F24" s="217" t="str">
        <f>IF($J$10=TRUE,"License issued by the environmental agency","Licença de Operação ou Dispensa do órgão ambiental estadual")</f>
        <v>Licença de Operação ou Dispensa do órgão ambiental estadual</v>
      </c>
      <c r="G24" s="218"/>
      <c r="H24" s="219"/>
      <c r="I24" s="38"/>
      <c r="J24" s="32"/>
      <c r="K24" s="10"/>
    </row>
    <row r="25" spans="2:11" ht="12.75" customHeight="1" x14ac:dyDescent="0.2">
      <c r="B25" s="37"/>
      <c r="C25" s="47" t="str">
        <f t="shared" si="0"/>
        <v>Obrigatório</v>
      </c>
      <c r="D25" s="201"/>
      <c r="E25" s="201"/>
      <c r="F25" s="217" t="str">
        <f>IF($J$10=TRUE,"Declaration of technical responsibility of CEO","Anotação do Responsável Técnico (ART)")</f>
        <v>Anotação do Responsável Técnico (ART)</v>
      </c>
      <c r="G25" s="218"/>
      <c r="H25" s="219"/>
      <c r="I25" s="38"/>
      <c r="J25" s="32"/>
    </row>
    <row r="26" spans="2:11" ht="12.75" customHeight="1" x14ac:dyDescent="0.2">
      <c r="B26" s="36"/>
      <c r="C26" s="47" t="str">
        <f t="shared" si="0"/>
        <v>Obrigatório</v>
      </c>
      <c r="D26" s="201"/>
      <c r="E26" s="201"/>
      <c r="F26" s="217" t="str">
        <f>IF($J$10=TRUE,"Certificate or Declaration of Waste Movement","Certificado de Movimentação de resíduo de interesse ambiental (CADRI)")</f>
        <v>Certificado de Movimentação de resíduo de interesse ambiental (CADRI)</v>
      </c>
      <c r="G26" s="218"/>
      <c r="H26" s="219"/>
      <c r="I26" s="24"/>
    </row>
    <row r="27" spans="2:11" ht="30.75" customHeight="1" x14ac:dyDescent="0.2">
      <c r="B27" s="37"/>
      <c r="C27" s="47" t="str">
        <f t="shared" si="0"/>
        <v>Obrigatório</v>
      </c>
      <c r="D27" s="201"/>
      <c r="E27" s="201"/>
      <c r="F27" s="217" t="str">
        <f>IF($J$10=TRUE,"List of chemical products used and registration of products with the competent bodies","Lista de produtos químicos utilizados e registro dos produtos nos órgãos competente")</f>
        <v>Lista de produtos químicos utilizados e registro dos produtos nos órgãos competente</v>
      </c>
      <c r="G27" s="218"/>
      <c r="H27" s="219"/>
      <c r="I27" s="38"/>
      <c r="J27" s="32"/>
    </row>
    <row r="28" spans="2:11" ht="34.5" customHeight="1" x14ac:dyDescent="0.2">
      <c r="B28" s="37"/>
      <c r="C28" s="47" t="str">
        <f t="shared" si="0"/>
        <v>Obrigatório</v>
      </c>
      <c r="D28" s="201"/>
      <c r="E28" s="201"/>
      <c r="F28" s="217" t="str">
        <f>IF($J$10=TRUE,"List of chemical products used and registration of products with the competent bodies","Lista de produtos químicos utilizados e registro dos produtos nos órgãos competente")</f>
        <v>Lista de produtos químicos utilizados e registro dos produtos nos órgãos competente</v>
      </c>
      <c r="G28" s="218"/>
      <c r="H28" s="219"/>
      <c r="I28" s="38"/>
      <c r="J28" s="32"/>
    </row>
    <row r="29" spans="2:11" ht="25.5" customHeight="1" x14ac:dyDescent="0.2">
      <c r="B29" s="37"/>
      <c r="C29" s="47" t="str">
        <f t="shared" si="0"/>
        <v>Obrigatório</v>
      </c>
      <c r="D29" s="201"/>
      <c r="E29" s="201"/>
      <c r="F29" s="217" t="str">
        <f>IF($J$10=TRUE,"Product Technical Data Sheet","Ficha Técnica dos produtos")</f>
        <v>Ficha Técnica dos produtos</v>
      </c>
      <c r="G29" s="218"/>
      <c r="H29" s="219"/>
      <c r="I29" s="38"/>
      <c r="J29" s="32"/>
    </row>
    <row r="30" spans="2:11" ht="30" customHeight="1" x14ac:dyDescent="0.2">
      <c r="B30" s="37"/>
      <c r="C30" s="47" t="str">
        <f t="shared" si="0"/>
        <v>Obrigatório</v>
      </c>
      <c r="D30" s="201"/>
      <c r="E30" s="201"/>
      <c r="F30" s="217" t="str">
        <f>IF($J$10=TRUE,"Product MSDS","FISPQ dos produtos")</f>
        <v>FISPQ dos produtos</v>
      </c>
      <c r="G30" s="218"/>
      <c r="H30" s="219"/>
      <c r="I30" s="38"/>
      <c r="J30" s="32"/>
    </row>
    <row r="31" spans="2:11" ht="12.75" customHeight="1" x14ac:dyDescent="0.2">
      <c r="B31" s="37"/>
      <c r="C31" s="47" t="str">
        <f t="shared" si="0"/>
        <v>Obrigatório</v>
      </c>
      <c r="D31" s="201"/>
      <c r="E31" s="201"/>
      <c r="F31" s="217" t="str">
        <f>IF($J$10=TRUE,"Employee training","Treinamentos dos colaboradores")</f>
        <v>Treinamentos dos colaboradores</v>
      </c>
      <c r="G31" s="218"/>
      <c r="H31" s="219"/>
      <c r="I31" s="38"/>
      <c r="J31" s="32"/>
    </row>
    <row r="32" spans="2:11" ht="28.5" customHeight="1" x14ac:dyDescent="0.2">
      <c r="B32" s="36"/>
      <c r="C32" s="46" t="str">
        <f>IF($J$10=TRUE,"Differencial","Diferencial")</f>
        <v>Diferencial</v>
      </c>
      <c r="D32" s="201"/>
      <c r="E32" s="201"/>
      <c r="F32" s="217" t="str">
        <f>IF($J$10=TRUE,"Food Safety Certificates (e.g., GMP+FSA, FSSC 22000, FAMI QS, BRC...)","Certificados de Segurança de Alimentos (por exemplo, GMP+FSA, FSSC 22000, FAMI QS, BRC...)")</f>
        <v>Certificados de Segurança de Alimentos (por exemplo, GMP+FSA, FSSC 22000, FAMI QS, BRC...)</v>
      </c>
      <c r="G32" s="218"/>
      <c r="H32" s="219"/>
      <c r="I32" s="24"/>
    </row>
    <row r="33" spans="2:10" x14ac:dyDescent="0.2">
      <c r="B33" s="39"/>
      <c r="C33" s="30"/>
      <c r="D33" s="53"/>
      <c r="E33" s="53"/>
      <c r="F33" s="53"/>
      <c r="G33" s="53"/>
      <c r="H33" s="53"/>
      <c r="I33" s="31"/>
    </row>
    <row r="35" spans="2:10" x14ac:dyDescent="0.2">
      <c r="G35" s="154"/>
      <c r="H35" s="154"/>
      <c r="I35" s="154"/>
      <c r="J35" s="139"/>
    </row>
    <row r="36" spans="2:10" x14ac:dyDescent="0.2">
      <c r="B36" s="41"/>
      <c r="C36" s="21"/>
      <c r="D36" s="51"/>
      <c r="E36" s="51"/>
      <c r="F36" s="51"/>
      <c r="G36" s="56"/>
      <c r="H36" s="56"/>
      <c r="I36" s="43"/>
      <c r="J36" s="40"/>
    </row>
    <row r="37" spans="2:10" x14ac:dyDescent="0.2">
      <c r="B37" s="36"/>
      <c r="I37" s="24"/>
    </row>
    <row r="38" spans="2:10" ht="11.25" customHeight="1" x14ac:dyDescent="0.2">
      <c r="B38" s="236" t="str">
        <f>IF($J$10=TRUE,"Read each statement and mark with an X in the column according to the company's service in the item.","Por favor, leia cada enunciado e assinale com um X na coluna correspondente ao atendimento da empresa para o respectivo item.")</f>
        <v>Por favor, leia cada enunciado e assinale com um X na coluna correspondente ao atendimento da empresa para o respectivo item.</v>
      </c>
      <c r="C38" s="237"/>
      <c r="D38" s="237"/>
      <c r="E38" s="237"/>
      <c r="F38" s="237"/>
      <c r="G38" s="237"/>
      <c r="H38" s="237"/>
      <c r="I38" s="238"/>
    </row>
    <row r="39" spans="2:10" ht="15.75" x14ac:dyDescent="0.2">
      <c r="B39" s="167" t="str">
        <f>IF($J$10=TRUE,"QUALITY AND FOOD SAFETY MANAGEMENT SYSTEM","SISTEMA DE GESTÃO DA QUALIDADE E SEGURANÇA DE ALIMENTOS")</f>
        <v>SISTEMA DE GESTÃO DA QUALIDADE E SEGURANÇA DE ALIMENTOS</v>
      </c>
      <c r="C39" s="168"/>
      <c r="D39" s="168"/>
      <c r="E39" s="168"/>
      <c r="F39" s="168"/>
      <c r="G39" s="168"/>
      <c r="H39" s="168"/>
      <c r="I39" s="169"/>
    </row>
    <row r="40" spans="2:10" ht="27" customHeight="1" x14ac:dyDescent="0.2">
      <c r="B40" s="170" t="str">
        <f>IF($J$10=TRUE,"Items (Answer the question with an X. If the answer is NA, please justify the answer at the Observation field.","Itens (Selecione a resposta com X) / Se NA, justificar em Observações")</f>
        <v>Itens (Selecione a resposta com X) / Se NA, justificar em Observações</v>
      </c>
      <c r="C40" s="171"/>
      <c r="D40" s="114" t="str">
        <f>IF($J$10=TRUE,"Yes","Sim")</f>
        <v>Sim</v>
      </c>
      <c r="E40" s="114" t="str">
        <f>IF($J$10=TRUE,"No","Não")</f>
        <v>Não</v>
      </c>
      <c r="F40" s="114" t="str">
        <f>IF($J$10=TRUE,"In progress","Em andamento")</f>
        <v>Em andamento</v>
      </c>
      <c r="G40" s="113" t="str">
        <f>IF($J$10=TRUE,"NA (not applicable)","NA")</f>
        <v>NA</v>
      </c>
      <c r="H40" s="172" t="str">
        <f>IF($J$10=TRUE,"Observation","Observações")</f>
        <v>Observações</v>
      </c>
      <c r="I40" s="173"/>
    </row>
    <row r="41" spans="2:10" ht="41.25" customHeight="1" x14ac:dyDescent="0.2">
      <c r="B41" s="60">
        <v>1</v>
      </c>
      <c r="C41" s="45" t="str">
        <f>IF($J$10=TRUE,"Does the company establish procedures for preparing, issuing, circulating and controlling documentation?","A empresa estabelece procedimentos para elaboração, emissão, circulação e controle da documentação?")</f>
        <v>A empresa estabelece procedimentos para elaboração, emissão, circulação e controle da documentação?</v>
      </c>
      <c r="D41" s="130" t="s">
        <v>86</v>
      </c>
      <c r="E41" s="130"/>
      <c r="F41" s="127"/>
      <c r="G41" s="127"/>
      <c r="H41" s="166"/>
      <c r="I41" s="166"/>
    </row>
    <row r="42" spans="2:10" ht="43.5" customHeight="1" x14ac:dyDescent="0.2">
      <c r="B42" s="60">
        <f>B41+1</f>
        <v>2</v>
      </c>
      <c r="C42" s="45" t="str">
        <f>IF($J$10=TRUE,"Does the company establish and implement Good Manufacturing Practices following current legislation?","A empresa estabelecer e implantar as Boas Práticas de Fabricação seguindo a Legislação vigente?")</f>
        <v>A empresa estabelecer e implantar as Boas Práticas de Fabricação seguindo a Legislação vigente?</v>
      </c>
      <c r="D42" s="130" t="s">
        <v>86</v>
      </c>
      <c r="E42" s="127"/>
      <c r="F42" s="127"/>
      <c r="G42" s="127"/>
      <c r="H42" s="166"/>
      <c r="I42" s="166"/>
    </row>
    <row r="43" spans="2:10" ht="58.5" customHeight="1" x14ac:dyDescent="0.2">
      <c r="B43" s="60">
        <f t="shared" ref="B43:B48" si="1">B42+1</f>
        <v>3</v>
      </c>
      <c r="C43" s="45" t="str">
        <f>IF($J$10=TRUE,"Is there a Quality Manual or Good Manufacturing Practices Manual? (GMP)","Existe um Manual de Qualidade ou Manual de Boas Práticas de Fabricação?")</f>
        <v>Existe um Manual de Qualidade ou Manual de Boas Práticas de Fabricação?</v>
      </c>
      <c r="D43" s="130" t="s">
        <v>86</v>
      </c>
      <c r="E43" s="127"/>
      <c r="F43" s="127"/>
      <c r="G43" s="127"/>
      <c r="H43" s="166"/>
      <c r="I43" s="166"/>
    </row>
    <row r="44" spans="2:10" ht="38.25" x14ac:dyDescent="0.2">
      <c r="B44" s="60">
        <f t="shared" si="1"/>
        <v>4</v>
      </c>
      <c r="C44" s="45" t="str">
        <f>IF($J$10=TRUE,"Are periodic inspections/audits of the food quality and safety management system carried out?","São realizadas inspeções/auditorias periódicas do sistema de gestão da qualidade e segurança de alimentos?")</f>
        <v>São realizadas inspeções/auditorias periódicas do sistema de gestão da qualidade e segurança de alimentos?</v>
      </c>
      <c r="D44" s="127"/>
      <c r="E44" s="130" t="s">
        <v>86</v>
      </c>
      <c r="F44" s="127"/>
      <c r="G44" s="127"/>
      <c r="H44" s="166"/>
      <c r="I44" s="166"/>
    </row>
    <row r="45" spans="2:10" ht="25.5" x14ac:dyDescent="0.2">
      <c r="B45" s="60">
        <f t="shared" si="1"/>
        <v>5</v>
      </c>
      <c r="C45" s="45" t="str">
        <f>IF($J$10=TRUE,"Is there a supplier management procedure?","Há procedimento de gestão de fornecedores?")</f>
        <v>Há procedimento de gestão de fornecedores?</v>
      </c>
      <c r="D45" s="130" t="s">
        <v>86</v>
      </c>
      <c r="E45" s="127"/>
      <c r="F45" s="127"/>
      <c r="G45" s="127"/>
      <c r="H45" s="166"/>
      <c r="I45" s="166"/>
    </row>
    <row r="46" spans="2:10" ht="42.75" customHeight="1" x14ac:dyDescent="0.2">
      <c r="B46" s="60">
        <f t="shared" si="1"/>
        <v>6</v>
      </c>
      <c r="C46" s="45" t="str">
        <f>IF($J$10=TRUE,"Do you have a product traceability and recall program? Are simulations carried out?","Possui programa de rastreabilidade e recolhimento de produtos? São realizado simulados?")</f>
        <v>Possui programa de rastreabilidade e recolhimento de produtos? São realizado simulados?</v>
      </c>
      <c r="D46" s="130" t="s">
        <v>86</v>
      </c>
      <c r="E46" s="127"/>
      <c r="F46" s="127"/>
      <c r="G46" s="127"/>
      <c r="H46" s="166"/>
      <c r="I46" s="166"/>
    </row>
    <row r="47" spans="2:10" ht="46.5" customHeight="1" x14ac:dyDescent="0.2">
      <c r="B47" s="60">
        <f t="shared" si="1"/>
        <v>7</v>
      </c>
      <c r="C47" s="45" t="str">
        <f>IF($J$10=TRUE,"Is there a customer complaint handling system? Are complaints recorded and handled?","Existe um sistema de tratamento de reclamação de clientes? As reclamações são registradas e tratadas?")</f>
        <v>Existe um sistema de tratamento de reclamação de clientes? As reclamações são registradas e tratadas?</v>
      </c>
      <c r="D47" s="130" t="s">
        <v>86</v>
      </c>
      <c r="E47" s="127"/>
      <c r="F47" s="127"/>
      <c r="G47" s="127"/>
      <c r="H47" s="166"/>
      <c r="I47" s="166"/>
    </row>
    <row r="48" spans="2:10" ht="29.25" customHeight="1" x14ac:dyDescent="0.2">
      <c r="B48" s="60">
        <f t="shared" si="1"/>
        <v>8</v>
      </c>
      <c r="C48" s="45" t="str">
        <f>IF($J$10=TRUE,"Is there an effective pest control program in place?","Existe um programa de controle de pragas implementado e eficaz?")</f>
        <v>Existe um programa de controle de pragas implementado e eficaz?</v>
      </c>
      <c r="D48" s="130" t="s">
        <v>86</v>
      </c>
      <c r="E48" s="130"/>
      <c r="F48" s="127"/>
      <c r="G48" s="127"/>
      <c r="H48" s="166"/>
      <c r="I48" s="166"/>
    </row>
    <row r="49" spans="2:9" ht="39.75" customHeight="1" x14ac:dyDescent="0.2">
      <c r="B49" s="60">
        <f>B48+1</f>
        <v>9</v>
      </c>
      <c r="C49" s="45" t="str">
        <f>IF($J$10=TRUE,"Are the chemical products used suitable, approved for use by the competent body?","Os produtos quimicos que são utilizados são adequados, estão aprovados para uso pelo órgão competente?")</f>
        <v>Os produtos quimicos que são utilizados são adequados, estão aprovados para uso pelo órgão competente?</v>
      </c>
      <c r="D49" s="130" t="s">
        <v>86</v>
      </c>
      <c r="E49" s="127"/>
      <c r="F49" s="127"/>
      <c r="G49" s="127"/>
      <c r="H49" s="166"/>
      <c r="I49" s="166"/>
    </row>
    <row r="50" spans="2:9" ht="39.75" customHeight="1" x14ac:dyDescent="0.2">
      <c r="B50" s="60">
        <f>B49+1</f>
        <v>10</v>
      </c>
      <c r="C50" s="45" t="str">
        <f>IF($J$10=TRUE,"Do you perform equipment and instrument calibration?","Realiza calibração de equipamento e instrumentos?")</f>
        <v>Realiza calibração de equipamento e instrumentos?</v>
      </c>
      <c r="D50" s="130" t="s">
        <v>86</v>
      </c>
      <c r="E50" s="127"/>
      <c r="F50" s="127"/>
      <c r="G50" s="127"/>
      <c r="H50" s="166"/>
      <c r="I50" s="166"/>
    </row>
    <row r="51" spans="2:9" x14ac:dyDescent="0.2">
      <c r="B51" s="62"/>
      <c r="C51" s="76"/>
      <c r="D51" s="67"/>
      <c r="E51" s="67"/>
      <c r="F51" s="67"/>
      <c r="G51" s="67"/>
      <c r="H51" s="48"/>
      <c r="I51" s="64"/>
    </row>
    <row r="52" spans="2:9" ht="15.75" x14ac:dyDescent="0.2">
      <c r="B52" s="167" t="str">
        <f>IF($J$10=TRUE,"BUILDING AND FACILITIES","EDIFICAÇÃO E INSTALAÇÕES")</f>
        <v>EDIFICAÇÃO E INSTALAÇÕES</v>
      </c>
      <c r="C52" s="168"/>
      <c r="D52" s="168"/>
      <c r="E52" s="168"/>
      <c r="F52" s="168"/>
      <c r="G52" s="168"/>
      <c r="H52" s="168"/>
      <c r="I52" s="169"/>
    </row>
    <row r="53" spans="2:9" ht="27.75" customHeight="1" x14ac:dyDescent="0.2">
      <c r="B53" s="170" t="str">
        <f>IF($J$10=TRUE,"Items (Answer the question with an X. If the answer is NA, please justify the answer at the Observation field.","Itens (Selecione a resposta com X) / Se NA, justificar em Observações")</f>
        <v>Itens (Selecione a resposta com X) / Se NA, justificar em Observações</v>
      </c>
      <c r="C53" s="171"/>
      <c r="D53" s="114" t="str">
        <f>IF($J$10=TRUE,"Yes","Sim")</f>
        <v>Sim</v>
      </c>
      <c r="E53" s="114" t="str">
        <f>IF($J$10=TRUE,"No","Não")</f>
        <v>Não</v>
      </c>
      <c r="F53" s="114" t="str">
        <f>IF($J$10=TRUE,"In progress","Em andamento")</f>
        <v>Em andamento</v>
      </c>
      <c r="G53" s="113" t="str">
        <f>IF($J$10=TRUE,"NA (not applicable)","NA")</f>
        <v>NA</v>
      </c>
      <c r="H53" s="172" t="str">
        <f>IF($J$10=TRUE,"Observation","Observações")</f>
        <v>Observações</v>
      </c>
      <c r="I53" s="173"/>
    </row>
    <row r="54" spans="2:9" ht="25.5" x14ac:dyDescent="0.2">
      <c r="B54" s="60">
        <f>B50+1</f>
        <v>11</v>
      </c>
      <c r="C54" s="45" t="str">
        <f>IF($J$10=TRUE,"Are the facilities adequate (location, floor, wall, lighting, production volume, maintenance and cleaning) to maintain Good Manufacturing Practices?","Existe um programa de controle de pragas implementado e eficaz?")</f>
        <v>Existe um programa de controle de pragas implementado e eficaz?</v>
      </c>
      <c r="D54" s="130" t="s">
        <v>86</v>
      </c>
      <c r="E54" s="127"/>
      <c r="F54" s="127"/>
      <c r="G54" s="127"/>
      <c r="H54" s="166"/>
      <c r="I54" s="166"/>
    </row>
    <row r="55" spans="2:9" ht="41.25" customHeight="1" x14ac:dyDescent="0.2">
      <c r="B55" s="60">
        <f>B54+1</f>
        <v>12</v>
      </c>
      <c r="C55" s="45" t="str">
        <f>IF($J$10=TRUE,"Were the facilities designed to follow a linear flow to avoid cross-contamination?","As instalações foram projetadas para seguir um fluxo linear, de modo a evitar a contaminação cruzada?")</f>
        <v>As instalações foram projetadas para seguir um fluxo linear, de modo a evitar a contaminação cruzada?</v>
      </c>
      <c r="D55" s="130" t="s">
        <v>86</v>
      </c>
      <c r="E55" s="127"/>
      <c r="F55" s="127"/>
      <c r="G55" s="127"/>
      <c r="H55" s="166"/>
      <c r="I55" s="166"/>
    </row>
    <row r="56" spans="2:9" ht="44.25" customHeight="1" x14ac:dyDescent="0.2">
      <c r="B56" s="60">
        <f>B55+1</f>
        <v>13</v>
      </c>
      <c r="C56" s="45" t="str">
        <f>IF($J$10=TRUE,"Does it have water potability control through analysis at an appropriate frequency?","Possui controle de potabilidade de água através de análises em freência adequada?")</f>
        <v>Possui controle de potabilidade de água através de análises em freência adequada?</v>
      </c>
      <c r="D56" s="130" t="s">
        <v>86</v>
      </c>
      <c r="E56" s="127"/>
      <c r="F56" s="127"/>
      <c r="G56" s="127"/>
      <c r="H56" s="166"/>
      <c r="I56" s="166"/>
    </row>
    <row r="57" spans="2:9" ht="25.5" x14ac:dyDescent="0.2">
      <c r="B57" s="60">
        <f>B56+1</f>
        <v>14</v>
      </c>
      <c r="C57" s="45" t="str">
        <f>IF($J$10=TRUE,"Is the water tank cleaned frequently?","É realizada a limpeza do reservatório de água em frequência adequada? ")</f>
        <v xml:space="preserve">É realizada a limpeza do reservatório de água em frequência adequada? </v>
      </c>
      <c r="D57" s="130" t="s">
        <v>86</v>
      </c>
      <c r="E57" s="127"/>
      <c r="F57" s="127"/>
      <c r="G57" s="127"/>
      <c r="H57" s="166"/>
      <c r="I57" s="166"/>
    </row>
    <row r="58" spans="2:9" x14ac:dyDescent="0.2">
      <c r="B58" s="36"/>
      <c r="I58" s="24"/>
    </row>
    <row r="59" spans="2:9" ht="15.75" x14ac:dyDescent="0.2">
      <c r="B59" s="167" t="str">
        <f>IF($J$10=TRUE,"ENVIRONMENTAL MANAGEMENT SYSTEM","SISTEMA DE GESTÃO AMBIENTAL")</f>
        <v>SISTEMA DE GESTÃO AMBIENTAL</v>
      </c>
      <c r="C59" s="168"/>
      <c r="D59" s="168"/>
      <c r="E59" s="168"/>
      <c r="F59" s="168"/>
      <c r="G59" s="168"/>
      <c r="H59" s="168"/>
      <c r="I59" s="169"/>
    </row>
    <row r="60" spans="2:9" ht="23.25" customHeight="1" x14ac:dyDescent="0.2">
      <c r="B60" s="170" t="str">
        <f>IF($J$10=TRUE,"Items (Answer the question with an X. If the answer is NA, please justify the answer at the Observation field.","Itens (Selecione a resposta com X) / Se NA, justificar em Observações")</f>
        <v>Itens (Selecione a resposta com X) / Se NA, justificar em Observações</v>
      </c>
      <c r="C60" s="171"/>
      <c r="D60" s="114" t="str">
        <f>IF($J$10=TRUE,"Yes","Sim")</f>
        <v>Sim</v>
      </c>
      <c r="E60" s="114" t="str">
        <f>IF($J$10=TRUE,"No","Não")</f>
        <v>Não</v>
      </c>
      <c r="F60" s="114" t="str">
        <f>IF($J$10=TRUE,"In progress","Em andamento")</f>
        <v>Em andamento</v>
      </c>
      <c r="G60" s="113" t="str">
        <f>IF($J$10=TRUE,"NA (not applicable)","NA")</f>
        <v>NA</v>
      </c>
      <c r="H60" s="172" t="str">
        <f>IF($J$10=TRUE,"Observation","Observações")</f>
        <v>Observações</v>
      </c>
      <c r="I60" s="173"/>
    </row>
    <row r="61" spans="2:9" ht="25.5" x14ac:dyDescent="0.2">
      <c r="B61" s="60">
        <f>B57+1</f>
        <v>15</v>
      </c>
      <c r="C61" s="45" t="str">
        <f>IF($J$10=TRUE,"Does the company have liquid and solid waste treatments?","A empresa possuí tratamentos de resíduos líquidos e sólidos?")</f>
        <v>A empresa possuí tratamentos de resíduos líquidos e sólidos?</v>
      </c>
      <c r="D61" s="127"/>
      <c r="E61" s="130" t="s">
        <v>86</v>
      </c>
      <c r="F61" s="127"/>
      <c r="G61" s="127"/>
      <c r="H61" s="166"/>
      <c r="I61" s="166"/>
    </row>
    <row r="62" spans="2:9" ht="41.25" customHeight="1" x14ac:dyDescent="0.2">
      <c r="B62" s="60">
        <f>B61+1</f>
        <v>16</v>
      </c>
      <c r="C62" s="45" t="str">
        <f>IF($J$10=TRUE,"Are the manufactured products biodegradable, resulting in no changes to the effluent treatment system?","Os produtos fabricados são biodegradáveis não conferindo alteração em sistema de tratamento de efluentes?")</f>
        <v>Os produtos fabricados são biodegradáveis não conferindo alteração em sistema de tratamento de efluentes?</v>
      </c>
      <c r="D62" s="127"/>
      <c r="E62" s="127"/>
      <c r="F62" s="127"/>
      <c r="G62" s="130" t="s">
        <v>86</v>
      </c>
      <c r="H62" s="249" t="s">
        <v>87</v>
      </c>
      <c r="I62" s="166"/>
    </row>
    <row r="63" spans="2:9" ht="25.5" x14ac:dyDescent="0.2">
      <c r="B63" s="60">
        <f>B62+1</f>
        <v>17</v>
      </c>
      <c r="C63" s="45" t="str">
        <f>IF($J$10=TRUE,"Does the company undergo fire inspection?","A empresa está vigente com a vistoria dos bombeiros?")</f>
        <v>A empresa está vigente com a vistoria dos bombeiros?</v>
      </c>
      <c r="D63" s="130" t="s">
        <v>86</v>
      </c>
      <c r="E63" s="127"/>
      <c r="F63" s="127"/>
      <c r="G63" s="127"/>
      <c r="H63" s="166"/>
      <c r="I63" s="166"/>
    </row>
    <row r="64" spans="2:9" ht="39.75" customHeight="1" x14ac:dyDescent="0.2">
      <c r="B64" s="60">
        <f>B63+1</f>
        <v>18</v>
      </c>
      <c r="C64" s="45" t="str">
        <f>IF($J$10=TRUE,"Are there catchment wells? Do they have authorization from the competent bodies?","Existem poços de captação? Os mesmos possuem outorga emitida pelo DAEE/ANA?")</f>
        <v>Existem poços de captação? Os mesmos possuem outorga emitida pelo DAEE/ANA?</v>
      </c>
      <c r="D64" s="127"/>
      <c r="E64" s="130" t="s">
        <v>86</v>
      </c>
      <c r="F64" s="127"/>
      <c r="G64" s="127"/>
      <c r="H64" s="166"/>
      <c r="I64" s="166"/>
    </row>
    <row r="65" spans="2:9" x14ac:dyDescent="0.2">
      <c r="B65" s="36"/>
      <c r="I65" s="24"/>
    </row>
    <row r="66" spans="2:9" ht="15.75" x14ac:dyDescent="0.2">
      <c r="B66" s="167" t="str">
        <f>IF($J$10=TRUE,"EMPLOYEES","COLABORADORES")</f>
        <v>COLABORADORES</v>
      </c>
      <c r="C66" s="168"/>
      <c r="D66" s="168"/>
      <c r="E66" s="168"/>
      <c r="F66" s="168"/>
      <c r="G66" s="168"/>
      <c r="H66" s="168"/>
      <c r="I66" s="169"/>
    </row>
    <row r="67" spans="2:9" ht="26.25" customHeight="1" x14ac:dyDescent="0.2">
      <c r="B67" s="170" t="str">
        <f>IF($J$10=TRUE,"Items (Answer the question with an X. If the answer is NA, please justify the answer at the Observation field.","Itens (Selecione a resposta com X) / Se NA, justificar em Observações")</f>
        <v>Itens (Selecione a resposta com X) / Se NA, justificar em Observações</v>
      </c>
      <c r="C67" s="171"/>
      <c r="D67" s="114" t="str">
        <f>IF($J$10=TRUE,"Yes","Sim")</f>
        <v>Sim</v>
      </c>
      <c r="E67" s="114" t="str">
        <f>IF($J$10=TRUE,"No","Não")</f>
        <v>Não</v>
      </c>
      <c r="F67" s="114" t="str">
        <f>IF($J$10=TRUE,"In progress","Em andamento")</f>
        <v>Em andamento</v>
      </c>
      <c r="G67" s="113" t="str">
        <f>IF($J$10=TRUE,"NA (not applicable)","NA")</f>
        <v>NA</v>
      </c>
      <c r="H67" s="172" t="str">
        <f>IF($J$10=TRUE,"Observation","Observações")</f>
        <v>Observações</v>
      </c>
      <c r="I67" s="173"/>
    </row>
    <row r="68" spans="2:9" ht="25.5" x14ac:dyDescent="0.2">
      <c r="B68" s="60">
        <f>B64+1</f>
        <v>19</v>
      </c>
      <c r="C68" s="45" t="str">
        <f>IF($J$10=TRUE,"Do employees undergo admission and periodic exams?","Os funcionários fazem exames admissionais e periódicos?")</f>
        <v>Os funcionários fazem exames admissionais e periódicos?</v>
      </c>
      <c r="D68" s="130" t="s">
        <v>86</v>
      </c>
      <c r="E68" s="127"/>
      <c r="F68" s="127"/>
      <c r="G68" s="127"/>
      <c r="H68" s="166"/>
      <c r="I68" s="166"/>
    </row>
    <row r="69" spans="2:9" ht="51.75" customHeight="1" x14ac:dyDescent="0.2">
      <c r="B69" s="60">
        <f>B68+1</f>
        <v>20</v>
      </c>
      <c r="C69" s="45" t="str">
        <f>IF($J$10=TRUE,"Do all employees receive training regarding GMP and work instructions relating to their activities?","Todos os funcionários recebem treinamento relativo à BPF e as instruções de trabalho relativas as suas atividades?")</f>
        <v>Todos os funcionários recebem treinamento relativo à BPF e as instruções de trabalho relativas as suas atividades?</v>
      </c>
      <c r="D69" s="130" t="s">
        <v>86</v>
      </c>
      <c r="E69" s="127"/>
      <c r="F69" s="127"/>
      <c r="G69" s="127"/>
      <c r="H69" s="249" t="s">
        <v>88</v>
      </c>
      <c r="I69" s="166"/>
    </row>
    <row r="71" spans="2:9" ht="27.75" customHeight="1" x14ac:dyDescent="0.2">
      <c r="B71" s="177" t="str">
        <f>IF($J$10=TRUE,"I declare that all information is true and that any changes in the manufacturing process, specification, or any other changes that impact the quality and/or traceability of the product supplied will be duly communicated to ICC Brazil.","Declaro que todas as informações são verídicas e que qualquer alteração no processo de fabricação, especificação, ou quaisquer outras mudanças que impactem na qualidade e/ou rastreabilidade do produto fornecido serão devidamente comunicados a ICC Brazil.")</f>
        <v>Declaro que todas as informações são verídicas e que qualquer alteração no processo de fabricação, especificação, ou quaisquer outras mudanças que impactem na qualidade e/ou rastreabilidade do produto fornecido serão devidamente comunicados a ICC Brazil.</v>
      </c>
      <c r="C71" s="177"/>
      <c r="D71" s="177"/>
      <c r="E71" s="177"/>
      <c r="F71" s="177"/>
      <c r="G71" s="177"/>
      <c r="H71" s="177"/>
      <c r="I71" s="177"/>
    </row>
    <row r="72" spans="2:9" x14ac:dyDescent="0.2">
      <c r="C72" s="48"/>
      <c r="D72"/>
      <c r="E72"/>
      <c r="F72"/>
      <c r="G72"/>
      <c r="H72"/>
    </row>
    <row r="73" spans="2:9" x14ac:dyDescent="0.2">
      <c r="C73" s="65" t="str">
        <f>IF($J$10=TRUE,"Responsible for completing:","Responsável pelo preenchimento:")</f>
        <v>Responsável pelo preenchimento:</v>
      </c>
      <c r="D73" s="275" t="s">
        <v>89</v>
      </c>
      <c r="E73" s="166"/>
      <c r="F73" s="166"/>
      <c r="G73" s="166"/>
      <c r="H73" s="166"/>
    </row>
    <row r="74" spans="2:9" x14ac:dyDescent="0.2">
      <c r="C74" s="65" t="str">
        <f>IF($J$10=TRUE,"Job Title:","Cargo:")</f>
        <v>Cargo:</v>
      </c>
      <c r="D74" s="275" t="s">
        <v>90</v>
      </c>
      <c r="E74" s="166"/>
      <c r="F74" s="166"/>
      <c r="G74" s="166"/>
      <c r="H74" s="166"/>
    </row>
    <row r="75" spans="2:9" x14ac:dyDescent="0.2">
      <c r="C75" s="65" t="str">
        <f>IF($J$10=TRUE,"Date:","Data:")</f>
        <v>Data:</v>
      </c>
      <c r="D75" s="276">
        <v>45449</v>
      </c>
      <c r="E75" s="166"/>
      <c r="F75" s="166"/>
      <c r="G75" s="166"/>
      <c r="H75" s="166"/>
    </row>
    <row r="76" spans="2:9" x14ac:dyDescent="0.2">
      <c r="C76" s="48"/>
      <c r="D76"/>
      <c r="E76"/>
      <c r="F76"/>
      <c r="G76"/>
      <c r="H76"/>
    </row>
    <row r="77" spans="2:9" x14ac:dyDescent="0.2">
      <c r="C77" s="48"/>
      <c r="D77"/>
      <c r="E77"/>
      <c r="F77"/>
      <c r="G77"/>
      <c r="H77"/>
    </row>
    <row r="78" spans="2:9" x14ac:dyDescent="0.2">
      <c r="C78" s="48"/>
      <c r="D78"/>
      <c r="E78"/>
      <c r="F78"/>
      <c r="G78"/>
      <c r="H78"/>
    </row>
    <row r="79" spans="2:9" x14ac:dyDescent="0.2">
      <c r="C79" s="181"/>
      <c r="D79" s="181"/>
      <c r="E79" s="181"/>
      <c r="F79" s="181"/>
      <c r="G79" s="181"/>
      <c r="H79" s="181"/>
    </row>
    <row r="80" spans="2:9" x14ac:dyDescent="0.2">
      <c r="C80" s="175" t="str">
        <f>IF($J$10=TRUE,"Signature","Assinatura")</f>
        <v>Assinatura</v>
      </c>
      <c r="D80" s="176"/>
      <c r="E80" s="176"/>
      <c r="F80" s="176"/>
      <c r="G80" s="176"/>
      <c r="H80" s="176"/>
    </row>
  </sheetData>
  <sheetProtection algorithmName="SHA-512" hashValue="5luFbG967aBW/CmgBx9oOnmgwJB5OpzKnyw47VRwRh4ScJ2qn1k+tG+l3sTjlyUA8NRPMK5Cao5ETIIvIG6wOw==" saltValue="jG/9Vjw+DDsTXU33vJkPdQ==" spinCount="100000" sheet="1"/>
  <mergeCells count="79">
    <mergeCell ref="H64:I64"/>
    <mergeCell ref="C79:H79"/>
    <mergeCell ref="C80:H80"/>
    <mergeCell ref="B38:I38"/>
    <mergeCell ref="F21:H21"/>
    <mergeCell ref="F22:H22"/>
    <mergeCell ref="F23:H23"/>
    <mergeCell ref="F24:H24"/>
    <mergeCell ref="F25:H25"/>
    <mergeCell ref="F26:H26"/>
    <mergeCell ref="B71:I71"/>
    <mergeCell ref="D73:H73"/>
    <mergeCell ref="D74:H74"/>
    <mergeCell ref="F27:H27"/>
    <mergeCell ref="F28:H28"/>
    <mergeCell ref="F29:H29"/>
    <mergeCell ref="D75:H75"/>
    <mergeCell ref="H69:I69"/>
    <mergeCell ref="B67:C67"/>
    <mergeCell ref="H68:I68"/>
    <mergeCell ref="H67:I67"/>
    <mergeCell ref="B66:I66"/>
    <mergeCell ref="D28:E28"/>
    <mergeCell ref="D29:E29"/>
    <mergeCell ref="D30:E30"/>
    <mergeCell ref="D31:E31"/>
    <mergeCell ref="D32:E32"/>
    <mergeCell ref="H49:I49"/>
    <mergeCell ref="B53:C53"/>
    <mergeCell ref="B39:I39"/>
    <mergeCell ref="B40:C40"/>
    <mergeCell ref="H40:I40"/>
    <mergeCell ref="H41:I41"/>
    <mergeCell ref="H53:I53"/>
    <mergeCell ref="H54:I54"/>
    <mergeCell ref="H46:I46"/>
    <mergeCell ref="B60:C60"/>
    <mergeCell ref="H63:I63"/>
    <mergeCell ref="H57:I57"/>
    <mergeCell ref="H55:I55"/>
    <mergeCell ref="H56:I56"/>
    <mergeCell ref="D26:E26"/>
    <mergeCell ref="H60:I60"/>
    <mergeCell ref="H61:I61"/>
    <mergeCell ref="B59:I59"/>
    <mergeCell ref="H43:I43"/>
    <mergeCell ref="H44:I44"/>
    <mergeCell ref="H45:I45"/>
    <mergeCell ref="H62:I62"/>
    <mergeCell ref="H42:I42"/>
    <mergeCell ref="H47:I47"/>
    <mergeCell ref="H48:I48"/>
    <mergeCell ref="H50:I50"/>
    <mergeCell ref="B52:I52"/>
    <mergeCell ref="E6:F6"/>
    <mergeCell ref="B15:C15"/>
    <mergeCell ref="D15:H15"/>
    <mergeCell ref="C10:H10"/>
    <mergeCell ref="C11:H11"/>
    <mergeCell ref="C12:H12"/>
    <mergeCell ref="C13:H13"/>
    <mergeCell ref="B14:C14"/>
    <mergeCell ref="D14:H14"/>
    <mergeCell ref="C20:H20"/>
    <mergeCell ref="F30:H30"/>
    <mergeCell ref="F31:H31"/>
    <mergeCell ref="F32:H32"/>
    <mergeCell ref="G35:J35"/>
    <mergeCell ref="D27:E27"/>
    <mergeCell ref="D21:E21"/>
    <mergeCell ref="D22:E22"/>
    <mergeCell ref="D23:E23"/>
    <mergeCell ref="D24:E24"/>
    <mergeCell ref="D25:E25"/>
    <mergeCell ref="A1:B4"/>
    <mergeCell ref="C1:I4"/>
    <mergeCell ref="J1:J2"/>
    <mergeCell ref="J3:J4"/>
    <mergeCell ref="B5:H5"/>
  </mergeCells>
  <dataValidations count="1">
    <dataValidation type="list" allowBlank="1" showInputMessage="1" showErrorMessage="1" sqref="D22:E32">
      <formula1>"SIM/YES,NÃO/NO"</formula1>
    </dataValidation>
  </dataValidations>
  <pageMargins left="0.511811024" right="0.511811024" top="0.78740157499999996" bottom="0.78740157499999996" header="0.31496062000000002" footer="0.31496062000000002"/>
  <pageSetup paperSize="9" orientation="portrait" horizontalDpi="0"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53256" r:id="rId4" name="Check Box 8">
              <controlPr locked="0" defaultSize="0" autoFill="0" autoLine="0" autoPict="0">
                <anchor moveWithCells="1">
                  <from>
                    <xdr:col>3</xdr:col>
                    <xdr:colOff>171450</xdr:colOff>
                    <xdr:row>4</xdr:row>
                    <xdr:rowOff>371475</xdr:rowOff>
                  </from>
                  <to>
                    <xdr:col>5</xdr:col>
                    <xdr:colOff>361950</xdr:colOff>
                    <xdr:row>6</xdr:row>
                    <xdr:rowOff>76200</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511811024" right="0.511811024" top="0.78740157499999996" bottom="0.78740157499999996" header="0.31496062000000002" footer="0.3149606200000000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14"/>
  <sheetViews>
    <sheetView topLeftCell="C1" workbookViewId="0">
      <selection activeCell="S14" sqref="S14:T14"/>
    </sheetView>
  </sheetViews>
  <sheetFormatPr defaultRowHeight="12.75" x14ac:dyDescent="0.2"/>
  <cols>
    <col min="10" max="10" width="16.42578125" style="67" customWidth="1"/>
    <col min="21" max="21" width="17.5703125" customWidth="1"/>
  </cols>
  <sheetData>
    <row r="3" spans="2:21" x14ac:dyDescent="0.2">
      <c r="B3" s="252" t="s">
        <v>51</v>
      </c>
      <c r="C3" s="253"/>
      <c r="D3" s="253"/>
      <c r="E3" s="253"/>
      <c r="F3" s="253"/>
      <c r="G3" s="253"/>
      <c r="H3" s="253"/>
      <c r="I3" s="253"/>
      <c r="J3" s="254"/>
      <c r="M3" s="250" t="s">
        <v>52</v>
      </c>
      <c r="N3" s="250"/>
      <c r="O3" s="250"/>
      <c r="P3" s="250"/>
      <c r="Q3" s="250"/>
      <c r="R3" s="250"/>
      <c r="S3" s="250"/>
      <c r="T3" s="250"/>
      <c r="U3" s="250"/>
    </row>
    <row r="4" spans="2:21" x14ac:dyDescent="0.2">
      <c r="B4" s="259" t="s">
        <v>60</v>
      </c>
      <c r="C4" s="260"/>
      <c r="D4" s="252" t="s">
        <v>62</v>
      </c>
      <c r="E4" s="253"/>
      <c r="F4" s="253"/>
      <c r="G4" s="254"/>
      <c r="H4" s="256" t="s">
        <v>61</v>
      </c>
      <c r="I4" s="257"/>
      <c r="J4" s="258" t="s">
        <v>63</v>
      </c>
      <c r="M4" s="259" t="s">
        <v>60</v>
      </c>
      <c r="N4" s="260"/>
      <c r="O4" s="252" t="s">
        <v>62</v>
      </c>
      <c r="P4" s="253"/>
      <c r="Q4" s="253"/>
      <c r="R4" s="254"/>
      <c r="S4" s="256" t="s">
        <v>61</v>
      </c>
      <c r="T4" s="257"/>
      <c r="U4" s="258" t="s">
        <v>63</v>
      </c>
    </row>
    <row r="5" spans="2:21" x14ac:dyDescent="0.2">
      <c r="B5" s="261"/>
      <c r="C5" s="262"/>
      <c r="D5" s="263" t="s">
        <v>13</v>
      </c>
      <c r="E5" s="264"/>
      <c r="F5" s="265" t="s">
        <v>14</v>
      </c>
      <c r="G5" s="266"/>
      <c r="H5" s="236"/>
      <c r="I5" s="238"/>
      <c r="J5" s="258"/>
      <c r="M5" s="261"/>
      <c r="N5" s="262"/>
      <c r="O5" s="263" t="s">
        <v>13</v>
      </c>
      <c r="P5" s="264"/>
      <c r="Q5" s="265" t="s">
        <v>14</v>
      </c>
      <c r="R5" s="266"/>
      <c r="S5" s="236"/>
      <c r="T5" s="238"/>
      <c r="U5" s="258"/>
    </row>
    <row r="6" spans="2:21" ht="30.75" customHeight="1" x14ac:dyDescent="0.2">
      <c r="B6" s="255" t="s">
        <v>53</v>
      </c>
      <c r="C6" s="255"/>
      <c r="D6" s="267">
        <f>(COUNTIFS('MATÉRIA-PRIMA_RAW MATERIAL'!D25:E45,"SIM/YES"))/COUNTA('MATÉRIA-PRIMA_RAW MATERIAL'!C25:C45)</f>
        <v>0</v>
      </c>
      <c r="E6" s="267"/>
      <c r="F6" s="268">
        <f>(COUNTIFS('MATÉRIA-PRIMA_RAW MATERIAL'!D46:E46,"SIM/YES"))*2%</f>
        <v>0</v>
      </c>
      <c r="G6" s="269"/>
      <c r="H6" s="267">
        <f>(COUNTA('MATÉRIA-PRIMA_RAW MATERIAL'!D61:D64,'MATÉRIA-PRIMA_RAW MATERIAL'!D67:D69,'MATÉRIA-PRIMA_RAW MATERIAL'!D72:D79,'MATÉRIA-PRIMA_RAW MATERIAL'!D82:D108,'MATÉRIA-PRIMA_RAW MATERIAL'!D111:D116))/((('MATÉRIA-PRIMA_RAW MATERIAL'!B116)-(COUNTA('MATÉRIA-PRIMA_RAW MATERIAL'!G61:G64,'MATÉRIA-PRIMA_RAW MATERIAL'!G67:G69,'MATÉRIA-PRIMA_RAW MATERIAL'!G72:G79,'MATÉRIA-PRIMA_RAW MATERIAL'!G82:G108,'MATÉRIA-PRIMA_RAW MATERIAL'!G111:G116))))</f>
        <v>0</v>
      </c>
      <c r="I6" s="267"/>
      <c r="J6" s="126">
        <f t="shared" ref="J6:J12" si="0">(((D6*2+H6)/3))+F6</f>
        <v>0</v>
      </c>
      <c r="M6" s="251" t="s">
        <v>64</v>
      </c>
      <c r="N6" s="251"/>
      <c r="O6" s="267">
        <f>(COUNTIFS('DESCARTE DE RESÍDUO'!D22:E27,"SIM/YES"))/COUNTA('DESCARTE DE RESÍDUO'!C22:C27)</f>
        <v>0</v>
      </c>
      <c r="P6" s="267"/>
      <c r="Q6" s="271" t="s">
        <v>72</v>
      </c>
      <c r="R6" s="269"/>
      <c r="S6" s="267">
        <f>(COUNTA('DESCARTE DE RESÍDUO'!D38:D53))/(('DESCARTE DE RESÍDUO'!B53)-(COUNTA('DESCARTE DE RESÍDUO'!G38:G53)))</f>
        <v>0</v>
      </c>
      <c r="T6" s="267"/>
      <c r="U6" s="126">
        <f>(((O6*2+S6)/3))</f>
        <v>0</v>
      </c>
    </row>
    <row r="7" spans="2:21" ht="41.25" customHeight="1" x14ac:dyDescent="0.2">
      <c r="B7" s="255" t="s">
        <v>54</v>
      </c>
      <c r="C7" s="255"/>
      <c r="D7" s="267">
        <f>(COUNTIFS('MATERIA-PRIMA (OUTROS) '!D24:E41,"SIM/YES"))/COUNTA('MATERIA-PRIMA (OUTROS) '!C24:C41)</f>
        <v>0</v>
      </c>
      <c r="E7" s="267"/>
      <c r="F7" s="268">
        <f>(COUNTIFS('MATERIA-PRIMA (OUTROS) '!D42,"SIM/YES"))*2%</f>
        <v>0</v>
      </c>
      <c r="G7" s="269"/>
      <c r="H7" s="267">
        <f>(COUNTA('MATERIA-PRIMA (OUTROS) '!D55:D58,'MATERIA-PRIMA (OUTROS) '!D61:D63,'MATERIA-PRIMA (OUTROS) '!D66:D73,'MATERIA-PRIMA (OUTROS) '!D76:D102,'MATERIA-PRIMA (OUTROS) '!D105:D109,'MATERIA-PRIMA (OUTROS) '!D115:D120,'MATERIA-PRIMA (OUTROS) '!D124:D127,'MATERIA-PRIMA (OUTROS) '!D131:D132,'MATERIA-PRIMA (OUTROS) '!D136))/((('MATERIA-PRIMA (OUTROS) '!B109+'MATERIA-PRIMA (OUTROS) '!B136)-(COUNTA('MATERIA-PRIMA (OUTROS) '!G55:G58,'MATERIA-PRIMA (OUTROS) '!G61:G63,'MATERIA-PRIMA (OUTROS) '!G66:G73,'MATERIA-PRIMA (OUTROS) '!G76:G102,'MATERIA-PRIMA (OUTROS) '!G105:G109,'MATERIA-PRIMA (OUTROS) '!G115:G120,'MATERIA-PRIMA (OUTROS) '!G124:G127,'MATERIA-PRIMA (OUTROS) '!G131:G132,'MATERIA-PRIMA (OUTROS) '!G136))))</f>
        <v>0</v>
      </c>
      <c r="I7" s="267"/>
      <c r="J7" s="126">
        <f t="shared" si="0"/>
        <v>0</v>
      </c>
      <c r="M7" s="251" t="s">
        <v>74</v>
      </c>
      <c r="N7" s="251"/>
      <c r="O7" s="267">
        <f>(COUNTIFS(CALIBRAÇÃO_EQUIP!D22:E25,"SIM/YES"))/COUNTA(CALIBRAÇÃO_EQUIP!C22:C25)</f>
        <v>0</v>
      </c>
      <c r="P7" s="267"/>
      <c r="Q7" s="271" t="s">
        <v>72</v>
      </c>
      <c r="R7" s="269"/>
      <c r="S7" s="267">
        <f>(COUNTA(CALIBRAÇÃO_EQUIP!D34:D51))/(((CALIBRAÇÃO_EQUIP!B51)-(COUNTA(CALIBRAÇÃO_EQUIP!G34:G51))))</f>
        <v>0</v>
      </c>
      <c r="T7" s="267"/>
      <c r="U7" s="126">
        <f>(((O7*2+S7)/3))</f>
        <v>0</v>
      </c>
    </row>
    <row r="8" spans="2:21" x14ac:dyDescent="0.2">
      <c r="B8" s="255" t="s">
        <v>55</v>
      </c>
      <c r="C8" s="255"/>
      <c r="D8" s="267">
        <f>(COUNTIFS(QUIMICO!D22:E31,"SIM/YES"))/COUNTA(QUIMICO!C22:C31)</f>
        <v>0</v>
      </c>
      <c r="E8" s="267"/>
      <c r="F8" s="268">
        <f>(COUNTIFS(QUIMICO!D32:E33,"SIM/YES"))*0.01</f>
        <v>0</v>
      </c>
      <c r="G8" s="269"/>
      <c r="H8" s="270">
        <f>(COUNTA(QUIMICO!D42:D58))/((QUIMICO!B58)-(COUNTA(QUIMICO!G42:G58)))</f>
        <v>0</v>
      </c>
      <c r="I8" s="270"/>
      <c r="J8" s="126">
        <f t="shared" si="0"/>
        <v>0</v>
      </c>
      <c r="M8" s="272" t="s">
        <v>65</v>
      </c>
      <c r="N8" s="272"/>
      <c r="O8" s="267">
        <f>(COUNTIFS(MANUTENÇÃO!D22:E26,"SIM/YES"))/COUNTA(MANUTENÇÃO!C22:C26)</f>
        <v>0</v>
      </c>
      <c r="P8" s="267"/>
      <c r="Q8" s="268">
        <f>(COUNTIFS(MANUTENÇÃO!D27,"SIM/YES"))*1</f>
        <v>0</v>
      </c>
      <c r="R8" s="269"/>
      <c r="S8" s="267">
        <f>(COUNTA(MANUTENÇÃO!D36:D53))/((MANUTENÇÃO!B53)-(COUNTA(MANUTENÇÃO!G36:G53)))</f>
        <v>0</v>
      </c>
      <c r="T8" s="267"/>
      <c r="U8" s="126">
        <f t="shared" ref="U8:U14" si="1">(((O8*2+S8)/3))+Q8</f>
        <v>0</v>
      </c>
    </row>
    <row r="9" spans="2:21" ht="24.75" customHeight="1" x14ac:dyDescent="0.2">
      <c r="B9" s="251" t="s">
        <v>56</v>
      </c>
      <c r="C9" s="251"/>
      <c r="D9" s="267">
        <f>(COUNTIFS('EMBALAGEM PRIMÁRIA '!D22:E32,"SIM/YES"))/COUNTA('EMBALAGEM PRIMÁRIA '!C22:C32)</f>
        <v>0</v>
      </c>
      <c r="E9" s="267"/>
      <c r="F9" s="268">
        <f>(COUNTIFS('EMBALAGEM PRIMÁRIA '!D33:E34,"SIM/YES"))*0.01</f>
        <v>0</v>
      </c>
      <c r="G9" s="269"/>
      <c r="H9" s="267">
        <f>(COUNTA('EMBALAGEM PRIMÁRIA '!D43:D50,'EMBALAGEM PRIMÁRIA '!D54:D61,'EMBALAGEM PRIMÁRIA '!D65:D68,'EMBALAGEM PRIMÁRIA '!D72:D75,'EMBALAGEM PRIMÁRIA '!D79:D80,'EMBALAGEM PRIMÁRIA '!D84:D87,'EMBALAGEM PRIMÁRIA '!D91:D92,'EMBALAGEM PRIMÁRIA '!D96,'EMBALAGEM PRIMÁRIA '!D100:D102,'EMBALAGEM PRIMÁRIA '!D106))/(('EMBALAGEM PRIMÁRIA '!B106)-(COUNTA('EMBALAGEM PRIMÁRIA '!G43:G50,'EMBALAGEM PRIMÁRIA '!G54:G61,'EMBALAGEM PRIMÁRIA '!G65:G68,'EMBALAGEM PRIMÁRIA '!G72:G75,'EMBALAGEM PRIMÁRIA '!G79:G80,'EMBALAGEM PRIMÁRIA '!G84:G87,'EMBALAGEM PRIMÁRIA '!G91:G92,'EMBALAGEM PRIMÁRIA '!G96,'EMBALAGEM PRIMÁRIA '!G100:G102,'EMBALAGEM PRIMÁRIA '!G106)))</f>
        <v>0</v>
      </c>
      <c r="I9" s="267"/>
      <c r="J9" s="126">
        <f t="shared" si="0"/>
        <v>0</v>
      </c>
      <c r="M9" s="272" t="s">
        <v>66</v>
      </c>
      <c r="N9" s="272"/>
      <c r="O9" s="267">
        <f>(COUNTIFS(TRANSPORTADORAS!D22:E26,"SIM/YES"))/COUNTA(TRANSPORTADORAS!C22:C26)</f>
        <v>0</v>
      </c>
      <c r="P9" s="267"/>
      <c r="Q9" s="268">
        <f>(COUNTIFS(TRANSPORTADORAS!D27,"SIM/YES"))*1</f>
        <v>0</v>
      </c>
      <c r="R9" s="269"/>
      <c r="S9" s="267">
        <f>(COUNTA(TRANSPORTADORAS!D37:D51,TRANSPORTADORAS!D54:D59))/((TRANSPORTADORAS!B59)-(COUNTA(TRANSPORTADORAS!G37:G51,TRANSPORTADORAS!G54:G59)))</f>
        <v>0</v>
      </c>
      <c r="T9" s="267"/>
      <c r="U9" s="126">
        <f t="shared" si="1"/>
        <v>0</v>
      </c>
    </row>
    <row r="10" spans="2:21" ht="32.25" customHeight="1" x14ac:dyDescent="0.2">
      <c r="B10" s="251" t="s">
        <v>57</v>
      </c>
      <c r="C10" s="251"/>
      <c r="D10" s="267">
        <f>(COUNTIFS('EMBALAGEM SEGUNDÁRIA'!D22:E26,"SIM/YES"))/COUNTA('EMBALAGEM SEGUNDÁRIA'!C22:C26)</f>
        <v>0</v>
      </c>
      <c r="E10" s="267"/>
      <c r="F10" s="268">
        <f>(COUNTIFS('EMBALAGEM SEGUNDÁRIA'!D27:E28,"SIM/YES"))*0.01</f>
        <v>0</v>
      </c>
      <c r="G10" s="269"/>
      <c r="H10" s="267">
        <f>(COUNTA('EMBALAGEM SEGUNDÁRIA'!D39:D41,'EMBALAGEM SEGUNDÁRIA'!D45:D46,'EMBALAGEM SEGUNDÁRIA'!D50:D51,'EMBALAGEM SEGUNDÁRIA'!D55,'EMBALAGEM SEGUNDÁRIA'!D59:D61,'EMBALAGEM SEGUNDÁRIA'!D65:D67,'EMBALAGEM SEGUNDÁRIA'!D71:D72,'EMBALAGEM SEGUNDÁRIA'!D76))/(('EMBALAGEM SEGUNDÁRIA'!B76)-(COUNTA('EMBALAGEM SEGUNDÁRIA'!H39:I41,'EMBALAGEM SEGUNDÁRIA'!H45:I46,'EMBALAGEM SEGUNDÁRIA'!H50:I51,'EMBALAGEM SEGUNDÁRIA'!H55:I55,'EMBALAGEM SEGUNDÁRIA'!H59:I61,'EMBALAGEM SEGUNDÁRIA'!H65:I67,'EMBALAGEM SEGUNDÁRIA'!H71:I72,'EMBALAGEM SEGUNDÁRIA'!H76:I76)))</f>
        <v>0</v>
      </c>
      <c r="I10" s="267"/>
      <c r="J10" s="126">
        <f t="shared" si="0"/>
        <v>0</v>
      </c>
      <c r="M10" s="251" t="s">
        <v>67</v>
      </c>
      <c r="N10" s="251"/>
      <c r="O10" s="267">
        <f>(COUNTIFS('AUDITORES EXTERNOS'!D22:E22,"SIM/YES"))/COUNTA('AUDITORES EXTERNOS'!C22)</f>
        <v>0</v>
      </c>
      <c r="P10" s="267"/>
      <c r="Q10" s="268">
        <f>(COUNTIFS('AUDITORES EXTERNOS'!D23:E23,"SIM/YES"))*1</f>
        <v>0</v>
      </c>
      <c r="R10" s="269"/>
      <c r="S10" s="267">
        <f>(COUNTA('AUDITORES EXTERNOS'!D32:D47))/(('AUDITORES EXTERNOS'!B47)-(COUNTA('AUDITORES EXTERNOS'!G32:G47)))</f>
        <v>0</v>
      </c>
      <c r="T10" s="267"/>
      <c r="U10" s="126">
        <f t="shared" si="1"/>
        <v>0</v>
      </c>
    </row>
    <row r="11" spans="2:21" ht="28.5" customHeight="1" x14ac:dyDescent="0.2">
      <c r="B11" s="251" t="s">
        <v>58</v>
      </c>
      <c r="C11" s="251"/>
      <c r="D11" s="267">
        <f>(COUNTIFS('PRODUTO DE LIMPEZA'!D22:E28,"SIM/YES"))/COUNTA('PRODUTO DE LIMPEZA'!C22:C28)</f>
        <v>0</v>
      </c>
      <c r="E11" s="267"/>
      <c r="F11" s="268">
        <f>(COUNTIFS('PRODUTO DE LIMPEZA'!D29:E30,"SIM/YES"))*0.01</f>
        <v>0</v>
      </c>
      <c r="G11" s="269"/>
      <c r="H11" s="267">
        <f>(COUNTA('PRODUTO DE LIMPEZA'!D40:D46,'PRODUTO DE LIMPEZA'!D50:D58,'PRODUTO DE LIMPEZA'!D62:D72))/(('PRODUTO DE LIMPEZA'!B72)-(COUNTA('PRODUTO DE LIMPEZA'!G40:G46,'PRODUTO DE LIMPEZA'!G50:G58,'PRODUTO DE LIMPEZA'!G62:G72)))</f>
        <v>0</v>
      </c>
      <c r="I11" s="267"/>
      <c r="J11" s="126">
        <f t="shared" si="0"/>
        <v>0</v>
      </c>
      <c r="M11" s="255" t="s">
        <v>68</v>
      </c>
      <c r="N11" s="255"/>
      <c r="O11" s="267">
        <f>(COUNTIFS(LABORATÓRIO_LABORATORY!D22:E28,"SIM/YES"))/COUNTA(LABORATÓRIO_LABORATORY!C22:C28)</f>
        <v>0</v>
      </c>
      <c r="P11" s="267"/>
      <c r="Q11" s="268">
        <f>(COUNTIFS(LABORATÓRIO_LABORATORY!D31:E32,"SIM/YES"))*0.01</f>
        <v>0</v>
      </c>
      <c r="R11" s="269"/>
      <c r="S11" s="267">
        <f>(COUNTA(LABORATÓRIO_LABORATORY!D42:D51))/((LABORATÓRIO_LABORATORY!B51)-(COUNTA(LABORATÓRIO_LABORATORY!G42:G51)))</f>
        <v>0</v>
      </c>
      <c r="T11" s="267"/>
      <c r="U11" s="126">
        <f t="shared" si="1"/>
        <v>0</v>
      </c>
    </row>
    <row r="12" spans="2:21" x14ac:dyDescent="0.2">
      <c r="B12" s="255" t="s">
        <v>59</v>
      </c>
      <c r="C12" s="255"/>
      <c r="D12" s="267">
        <f>(COUNTIFS(EPI!D22:E32,"SIM/YES"))/COUNTA(EPI!C22:C32)</f>
        <v>0</v>
      </c>
      <c r="E12" s="267"/>
      <c r="F12" s="268">
        <f>(COUNTIFS(EPI!D33,"SIM/YES"))*2%</f>
        <v>0</v>
      </c>
      <c r="G12" s="269"/>
      <c r="H12" s="267">
        <f>(COUNTA(EPI!D43:D46,EPI!D50:D51,EPI!D55:D57,EPI!D61:D64,EPI!D68:D70))/((EPI!B70)-(COUNTA(EPI!G43:G46,EPI!G50:G51,EPI!G55:G57,EPI!G61:G64,EPI!G68:G70)))</f>
        <v>0</v>
      </c>
      <c r="I12" s="267"/>
      <c r="J12" s="126">
        <f t="shared" si="0"/>
        <v>0</v>
      </c>
      <c r="M12" s="272" t="s">
        <v>69</v>
      </c>
      <c r="N12" s="272"/>
      <c r="O12" s="267">
        <f>(COUNTIFS(DESPACHANTE!D22:E27,"SIM/YES"))/COUNTA(DESPACHANTE!C22:C27)</f>
        <v>0</v>
      </c>
      <c r="P12" s="267"/>
      <c r="Q12" s="268">
        <f>(COUNTIFS(DESPACHANTE!D28,"SIM/YES"))*2</f>
        <v>0</v>
      </c>
      <c r="R12" s="269"/>
      <c r="S12" s="267">
        <f>(COUNTA(DESPACHANTE!D37:D38,DESPACHANTE!D41:D51,DESPACHANTE!D54:D60))/((DESPACHANTE!B60)-(COUNTA(DESPACHANTE!G37:G38,DESPACHANTE!G41:G51,DESPACHANTE!G54:G60)))</f>
        <v>0</v>
      </c>
      <c r="T12" s="267"/>
      <c r="U12" s="126">
        <f t="shared" si="1"/>
        <v>0</v>
      </c>
    </row>
    <row r="13" spans="2:21" ht="27.75" customHeight="1" x14ac:dyDescent="0.2">
      <c r="M13" s="273" t="s">
        <v>70</v>
      </c>
      <c r="N13" s="273"/>
      <c r="O13" s="267">
        <f>(COUNTIFS('ARMAZÉM TERCEIRO'!D21:E28,"SIM/YES"))/COUNTA('ARMAZÉM TERCEIRO'!C21:C28)</f>
        <v>0</v>
      </c>
      <c r="P13" s="267"/>
      <c r="Q13" s="268">
        <f>(COUNTIFS('ARMAZÉM TERCEIRO'!D29:E29,"SIM/YES"))*2</f>
        <v>0</v>
      </c>
      <c r="R13" s="269"/>
      <c r="S13" s="267">
        <f>(COUNTA('ARMAZÉM TERCEIRO'!D39:D46,'ARMAZÉM TERCEIRO'!D50:D65,'ARMAZÉM TERCEIRO'!D69:D78,'ARMAZÉM TERCEIRO'!D82:D87,'ARMAZÉM TERCEIRO'!D91:D96))/(('ARMAZÉM TERCEIRO'!B96)-(COUNTA('ARMAZÉM TERCEIRO'!G39:G46,'ARMAZÉM TERCEIRO'!G50:G65,'ARMAZÉM TERCEIRO'!G69:G78,'ARMAZÉM TERCEIRO'!G82:G87,'ARMAZÉM TERCEIRO'!G91:G96)))</f>
        <v>0</v>
      </c>
      <c r="T13" s="267"/>
      <c r="U13" s="126">
        <f t="shared" si="1"/>
        <v>0</v>
      </c>
    </row>
    <row r="14" spans="2:21" ht="26.25" customHeight="1" x14ac:dyDescent="0.2">
      <c r="M14" s="273" t="s">
        <v>71</v>
      </c>
      <c r="N14" s="273"/>
      <c r="O14" s="267">
        <f>(COUNTIFS('CONTROLE DE PRAGAS'!D22:E31,"SIM/YES"))/COUNTA('CONTROLE DE PRAGAS'!C22:C31)</f>
        <v>0</v>
      </c>
      <c r="P14" s="267"/>
      <c r="Q14" s="268">
        <f>(COUNTIFS('CONTROLE DE PRAGAS'!D32:E32,"SIM/YES"))*2</f>
        <v>0</v>
      </c>
      <c r="R14" s="269"/>
      <c r="S14" s="267">
        <f>(COUNTA('CONTROLE DE PRAGAS'!D41:D50,'CONTROLE DE PRAGAS'!D54:D57,'CONTROLE DE PRAGAS'!D61:D64,'CONTROLE DE PRAGAS'!D68:D69))/('CONTROLE DE PRAGAS'!B69)-(COUNTA('CONTROLE DE PRAGAS'!G41:G50,'CONTROLE DE PRAGAS'!G54:G57,'CONTROLE DE PRAGAS'!G61:G64,'CONTROLE DE PRAGAS'!G68:G69))</f>
        <v>-0.19999999999999996</v>
      </c>
      <c r="T14" s="267"/>
      <c r="U14" s="126">
        <f t="shared" si="1"/>
        <v>-6.6666666666666652E-2</v>
      </c>
    </row>
  </sheetData>
  <mergeCells count="78">
    <mergeCell ref="S14:T14"/>
    <mergeCell ref="Q11:R11"/>
    <mergeCell ref="S11:T11"/>
    <mergeCell ref="O12:P12"/>
    <mergeCell ref="Q12:R12"/>
    <mergeCell ref="S12:T12"/>
    <mergeCell ref="O13:P13"/>
    <mergeCell ref="Q13:R13"/>
    <mergeCell ref="S13:T13"/>
    <mergeCell ref="O11:P11"/>
    <mergeCell ref="O14:P14"/>
    <mergeCell ref="M12:N12"/>
    <mergeCell ref="M13:N13"/>
    <mergeCell ref="M14:N14"/>
    <mergeCell ref="O10:P10"/>
    <mergeCell ref="Q10:R10"/>
    <mergeCell ref="Q14:R14"/>
    <mergeCell ref="M11:N11"/>
    <mergeCell ref="B9:C9"/>
    <mergeCell ref="S10:T10"/>
    <mergeCell ref="Q8:R8"/>
    <mergeCell ref="S8:T8"/>
    <mergeCell ref="O9:P9"/>
    <mergeCell ref="Q9:R9"/>
    <mergeCell ref="S9:T9"/>
    <mergeCell ref="S7:T7"/>
    <mergeCell ref="O6:P6"/>
    <mergeCell ref="O7:P7"/>
    <mergeCell ref="M10:N10"/>
    <mergeCell ref="Q6:R6"/>
    <mergeCell ref="M8:N8"/>
    <mergeCell ref="M9:N9"/>
    <mergeCell ref="O8:P8"/>
    <mergeCell ref="Q7:R7"/>
    <mergeCell ref="B11:C11"/>
    <mergeCell ref="B12:C12"/>
    <mergeCell ref="D4:G4"/>
    <mergeCell ref="B4:C5"/>
    <mergeCell ref="D5:E5"/>
    <mergeCell ref="F5:G5"/>
    <mergeCell ref="F6:G6"/>
    <mergeCell ref="D6:E6"/>
    <mergeCell ref="D10:E10"/>
    <mergeCell ref="D11:E11"/>
    <mergeCell ref="F9:G9"/>
    <mergeCell ref="F10:G10"/>
    <mergeCell ref="F11:G11"/>
    <mergeCell ref="B8:C8"/>
    <mergeCell ref="F12:G12"/>
    <mergeCell ref="B10:C10"/>
    <mergeCell ref="H12:I12"/>
    <mergeCell ref="F7:G7"/>
    <mergeCell ref="D8:E8"/>
    <mergeCell ref="D9:E9"/>
    <mergeCell ref="D7:E7"/>
    <mergeCell ref="D12:E12"/>
    <mergeCell ref="H9:I9"/>
    <mergeCell ref="H10:I10"/>
    <mergeCell ref="H11:I11"/>
    <mergeCell ref="F8:G8"/>
    <mergeCell ref="H7:I7"/>
    <mergeCell ref="H8:I8"/>
    <mergeCell ref="M3:U3"/>
    <mergeCell ref="M6:N6"/>
    <mergeCell ref="M7:N7"/>
    <mergeCell ref="B3:J3"/>
    <mergeCell ref="B6:C6"/>
    <mergeCell ref="B7:C7"/>
    <mergeCell ref="H4:I5"/>
    <mergeCell ref="J4:J5"/>
    <mergeCell ref="M4:N5"/>
    <mergeCell ref="O4:R4"/>
    <mergeCell ref="S4:T5"/>
    <mergeCell ref="U4:U5"/>
    <mergeCell ref="O5:P5"/>
    <mergeCell ref="Q5:R5"/>
    <mergeCell ref="H6:I6"/>
    <mergeCell ref="S6:T6"/>
  </mergeCells>
  <hyperlinks>
    <hyperlink ref="B6:C6" location="'MATÉRIA-PRIMA_RAW MATERIAL'!A1" display="MATÉRIA-PRIMA"/>
    <hyperlink ref="B7:C7" location="INSUMO_INPUT!A1" display="INSUMO"/>
    <hyperlink ref="B8:C8" location="QUIMICO!A1" display="PRODUTO QUÍMICO"/>
    <hyperlink ref="B9:C9" location="'EMBALAGEM PRIMÁRIA '!A1" display="EMBALAGEM PRIMÁRIA"/>
    <hyperlink ref="B10:C10" location="'EMBALAGEM SEGUNDÁRIA'!A1" display="EMBALAGEM SECUNDÁRIA"/>
    <hyperlink ref="B11:C11" location="'PRODUTO DE LIMPEZA'!A1" display="PRODUTO DE LIMPEZA"/>
    <hyperlink ref="B12:C12" location="EPI!A1" display="EPI"/>
    <hyperlink ref="M6:N6" location="'DESCARTE DE RESÍDUO'!A1" display="DESCARTE DE RESÍDUO"/>
    <hyperlink ref="M7:N7" location="CALIBRAÇÃO_EQUIP!A1" display="CALIBRAÇÃO"/>
    <hyperlink ref="M8:N8" location="MANUTENÇÃO!A1" display="MANUTENÇÃO"/>
    <hyperlink ref="M9:N9" location="TRANSPORTADORAS!A1" display="TRANSPORTE"/>
    <hyperlink ref="M10:N10" location="'AUDITORES EXTERNOS'!A1" display="AUDITORIA EXTERNA"/>
    <hyperlink ref="M11:N11" location="LABORATÓRIO_LABORATORY!A1" display="LABORATÓRIO"/>
    <hyperlink ref="M12:N12" location="DESPACHANTE!A1" display="DESPACHANTE"/>
    <hyperlink ref="M13:N13" location="'ARMAZÉM TERCEIRO'!A1" display="ARMAZÉM TERCEIRO"/>
    <hyperlink ref="M14:N14" location="'CONTROLE DE PRAGAS'!A1" display="CONTROLE DE PRAGAS"/>
  </hyperlinks>
  <pageMargins left="0.511811024" right="0.511811024" top="0.78740157499999996" bottom="0.78740157499999996" header="0.31496062000000002" footer="0.3149606200000000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71"/>
  <dimension ref="A1:G29"/>
  <sheetViews>
    <sheetView zoomScaleNormal="100" workbookViewId="0">
      <selection activeCell="A5" sqref="A5"/>
    </sheetView>
  </sheetViews>
  <sheetFormatPr defaultRowHeight="12.75" x14ac:dyDescent="0.2"/>
  <cols>
    <col min="2" max="8" width="23.28515625" customWidth="1"/>
  </cols>
  <sheetData>
    <row r="1" spans="1:7" s="1" customFormat="1" ht="39.75" customHeight="1" x14ac:dyDescent="0.2">
      <c r="C1" s="2"/>
    </row>
    <row r="2" spans="1:7" s="1" customFormat="1" ht="19.5" x14ac:dyDescent="0.25">
      <c r="A2" s="274" t="s">
        <v>2</v>
      </c>
      <c r="B2" s="274"/>
      <c r="C2" s="274"/>
      <c r="D2" s="274"/>
      <c r="E2" s="274"/>
      <c r="F2" s="274"/>
    </row>
    <row r="3" spans="1:7" s="1" customFormat="1" x14ac:dyDescent="0.2"/>
    <row r="4" spans="1:7" s="1" customFormat="1" x14ac:dyDescent="0.2">
      <c r="B4" s="5"/>
    </row>
    <row r="5" spans="1:7" s="1" customFormat="1" ht="21.95" customHeight="1" x14ac:dyDescent="0.2">
      <c r="A5" s="3">
        <v>1</v>
      </c>
      <c r="B5" s="3" t="s">
        <v>3</v>
      </c>
      <c r="C5" s="6" t="s">
        <v>6</v>
      </c>
      <c r="D5" s="6" t="s">
        <v>1</v>
      </c>
      <c r="E5" s="6" t="s">
        <v>7</v>
      </c>
      <c r="F5" s="6" t="s">
        <v>8</v>
      </c>
      <c r="G5" s="9" t="s">
        <v>4</v>
      </c>
    </row>
    <row r="6" spans="1:7" s="1" customFormat="1" ht="21.95" customHeight="1" x14ac:dyDescent="0.2">
      <c r="A6" s="3">
        <v>2</v>
      </c>
      <c r="B6" s="3" t="s">
        <v>0</v>
      </c>
      <c r="C6" s="6" t="s">
        <v>6</v>
      </c>
      <c r="D6" s="6" t="s">
        <v>5</v>
      </c>
      <c r="E6" s="8" t="s">
        <v>4</v>
      </c>
      <c r="F6" s="9" t="s">
        <v>4</v>
      </c>
      <c r="G6" s="9" t="s">
        <v>4</v>
      </c>
    </row>
    <row r="7" spans="1:7" s="1" customFormat="1" ht="21.95" customHeight="1" x14ac:dyDescent="0.2">
      <c r="C7" s="6"/>
      <c r="D7" s="6"/>
    </row>
    <row r="8" spans="1:7" s="1" customFormat="1" ht="21.95" customHeight="1" x14ac:dyDescent="0.2">
      <c r="C8" s="6"/>
      <c r="D8" s="6"/>
    </row>
    <row r="9" spans="1:7" s="1" customFormat="1" ht="25.5" customHeight="1" x14ac:dyDescent="0.2">
      <c r="C9" s="6"/>
      <c r="D9" s="6"/>
    </row>
    <row r="10" spans="1:7" s="1" customFormat="1" x14ac:dyDescent="0.2"/>
    <row r="11" spans="1:7" s="1" customFormat="1" x14ac:dyDescent="0.2">
      <c r="D11" s="7"/>
    </row>
    <row r="12" spans="1:7" s="1" customFormat="1" x14ac:dyDescent="0.2">
      <c r="D12" s="4"/>
    </row>
    <row r="13" spans="1:7" s="1" customFormat="1" x14ac:dyDescent="0.2"/>
    <row r="14" spans="1:7" s="1" customFormat="1" x14ac:dyDescent="0.2"/>
    <row r="15" spans="1:7" s="1" customFormat="1" x14ac:dyDescent="0.2"/>
    <row r="16" spans="1:7" s="1" customFormat="1" x14ac:dyDescent="0.2"/>
    <row r="17" s="1" customFormat="1" x14ac:dyDescent="0.2"/>
    <row r="18" s="1" customFormat="1" x14ac:dyDescent="0.2"/>
    <row r="19" s="1" customFormat="1" x14ac:dyDescent="0.2"/>
    <row r="20" s="1" customFormat="1" x14ac:dyDescent="0.2"/>
    <row r="21" s="1" customFormat="1" x14ac:dyDescent="0.2"/>
    <row r="22" s="1" customFormat="1" x14ac:dyDescent="0.2"/>
    <row r="23" s="1" customFormat="1" x14ac:dyDescent="0.2"/>
    <row r="24" s="1" customFormat="1" x14ac:dyDescent="0.2"/>
    <row r="25" s="1" customFormat="1" x14ac:dyDescent="0.2"/>
    <row r="26" s="1" customFormat="1" x14ac:dyDescent="0.2"/>
    <row r="27" s="1" customFormat="1" x14ac:dyDescent="0.2"/>
    <row r="28" s="1" customFormat="1" x14ac:dyDescent="0.2"/>
    <row r="29" s="1" customFormat="1" x14ac:dyDescent="0.2"/>
  </sheetData>
  <mergeCells count="1">
    <mergeCell ref="A2:F2"/>
  </mergeCells>
  <phoneticPr fontId="0" type="noConversion"/>
  <pageMargins left="0.43" right="0.28999999999999998" top="0.26" bottom="0.78" header="0.17" footer="0.28000000000000003"/>
  <pageSetup paperSize="9" orientation="landscape" r:id="rId1"/>
  <headerFooter alignWithMargins="0">
    <oddFooter>&amp;L&amp;8Member of the SGS Group (Société Générale de Surveillance)&amp;R&amp;8Página &amp;P de &amp;N
&amp;F</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21</vt:i4>
      </vt:variant>
    </vt:vector>
  </HeadingPairs>
  <TitlesOfParts>
    <vt:vector size="21" baseType="lpstr">
      <vt:lpstr>MENU</vt:lpstr>
      <vt:lpstr>ORIENTAÇÕES_GENERAL</vt:lpstr>
      <vt:lpstr>MATÉRIA-PRIMA_RAW MATERIAL</vt:lpstr>
      <vt:lpstr>MATERIA-PRIMA (OUTROS) </vt:lpstr>
      <vt:lpstr>QUIMICO</vt:lpstr>
      <vt:lpstr>EMBALAGEM PRIMÁRIA </vt:lpstr>
      <vt:lpstr>EMBALAGEM SEGUNDÁRIA</vt:lpstr>
      <vt:lpstr>PRODUTO DE LIMPEZA</vt:lpstr>
      <vt:lpstr>EPI</vt:lpstr>
      <vt:lpstr>DESCARTE DE RESÍDUO</vt:lpstr>
      <vt:lpstr>CALIBRAÇÃO_EQUIP</vt:lpstr>
      <vt:lpstr>MANUTENÇÃO</vt:lpstr>
      <vt:lpstr>TRANSPORTADORAS</vt:lpstr>
      <vt:lpstr>AUDITORES EXTERNOS</vt:lpstr>
      <vt:lpstr>LABORATÓRIO_LABORATORY</vt:lpstr>
      <vt:lpstr>DESPACHANTE</vt:lpstr>
      <vt:lpstr>ARMAZÉM TERCEIRO</vt:lpstr>
      <vt:lpstr>CONTROLE DE PRAGAS</vt:lpstr>
      <vt:lpstr>Planilha1</vt:lpstr>
      <vt:lpstr>GARANTIA DA QUALIDADE</vt:lpstr>
      <vt:lpstr>Lista Legislações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FNU</dc:creator>
  <cp:lastModifiedBy>gs</cp:lastModifiedBy>
  <cp:lastPrinted>2023-11-27T14:54:30Z</cp:lastPrinted>
  <dcterms:created xsi:type="dcterms:W3CDTF">2002-07-21T20:20:08Z</dcterms:created>
  <dcterms:modified xsi:type="dcterms:W3CDTF">2024-06-03T13:37:33Z</dcterms:modified>
</cp:coreProperties>
</file>